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malcounsel-my.sharepoint.com/personal/jay_optimalcounsel_com/Documents/Documents/Excel site/"/>
    </mc:Choice>
  </mc:AlternateContent>
  <xr:revisionPtr revIDLastSave="2" documentId="8_{6C5B6460-56B9-41C1-B2F9-BFC821A4744F}" xr6:coauthVersionLast="47" xr6:coauthVersionMax="47" xr10:uidLastSave="{D85353D7-564D-46F8-BF74-ADFFFEF20318}"/>
  <bookViews>
    <workbookView xWindow="11720" yWindow="2880" windowWidth="24150" windowHeight="16430" xr2:uid="{F5E663E0-01BF-4D7A-B8CA-E9A485ABAA86}"/>
  </bookViews>
  <sheets>
    <sheet name="Example Spreadsheet" sheetId="1" r:id="rId1"/>
  </sheets>
  <calcPr calcId="191029" iterate="1" iterateCount="100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34" i="1"/>
  <c r="L108" i="1"/>
  <c r="L109" i="1"/>
  <c r="L110" i="1"/>
  <c r="L111" i="1"/>
  <c r="L112" i="1"/>
  <c r="L113" i="1"/>
  <c r="L114" i="1"/>
  <c r="L115" i="1"/>
  <c r="L107" i="1"/>
  <c r="C20" i="1" l="1"/>
  <c r="D16" i="1" s="1"/>
  <c r="D174" i="1"/>
  <c r="C174" i="1"/>
  <c r="K144" i="1"/>
  <c r="K153" i="1" s="1"/>
  <c r="D15" i="1" l="1"/>
  <c r="D19" i="1"/>
  <c r="D18" i="1"/>
  <c r="D17" i="1"/>
  <c r="M107" i="1"/>
  <c r="M108" i="1"/>
  <c r="M109" i="1"/>
  <c r="M110" i="1"/>
  <c r="M111" i="1"/>
  <c r="M112" i="1"/>
  <c r="M113" i="1"/>
  <c r="M114" i="1"/>
  <c r="M115" i="1"/>
  <c r="L85" i="1"/>
  <c r="L86" i="1" s="1"/>
  <c r="D119" i="1"/>
  <c r="C119" i="1"/>
  <c r="I85" i="1"/>
  <c r="F85" i="1" s="1"/>
  <c r="I84" i="1"/>
  <c r="F84" i="1" s="1"/>
  <c r="I83" i="1"/>
  <c r="F83" i="1" s="1"/>
  <c r="I82" i="1"/>
  <c r="F82" i="1" s="1"/>
  <c r="F71" i="1"/>
  <c r="F72" i="1" s="1"/>
  <c r="C72" i="1"/>
  <c r="C77" i="1"/>
  <c r="D35" i="1"/>
  <c r="D52" i="1"/>
  <c r="C35" i="1"/>
  <c r="C52" i="1"/>
  <c r="C67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E52" i="1"/>
  <c r="G43" i="1"/>
  <c r="G44" i="1"/>
  <c r="G45" i="1"/>
  <c r="G46" i="1"/>
  <c r="G47" i="1"/>
  <c r="G48" i="1"/>
  <c r="G49" i="1"/>
  <c r="G50" i="1"/>
  <c r="F43" i="1"/>
  <c r="F44" i="1"/>
  <c r="F45" i="1"/>
  <c r="F46" i="1"/>
  <c r="F47" i="1"/>
  <c r="F48" i="1"/>
  <c r="F49" i="1"/>
  <c r="F50" i="1"/>
  <c r="F51" i="1"/>
  <c r="D20" i="1" l="1"/>
  <c r="C86" i="1"/>
  <c r="I86" i="1" s="1"/>
  <c r="F86" i="1" s="1"/>
  <c r="G71" i="1"/>
  <c r="E35" i="1"/>
  <c r="F35" i="1"/>
  <c r="H34" i="1" s="1"/>
  <c r="G35" i="1"/>
  <c r="G51" i="1"/>
  <c r="G52" i="1" s="1"/>
  <c r="I71" i="1" s="1"/>
  <c r="J71" i="1" s="1"/>
  <c r="F52" i="1"/>
  <c r="H48" i="1" s="1"/>
  <c r="K71" i="1" l="1"/>
  <c r="H32" i="1"/>
  <c r="H29" i="1"/>
  <c r="H26" i="1"/>
  <c r="H31" i="1"/>
  <c r="H33" i="1"/>
  <c r="H30" i="1"/>
  <c r="H27" i="1"/>
  <c r="H28" i="1"/>
  <c r="F38" i="1"/>
  <c r="I32" i="1"/>
  <c r="I30" i="1"/>
  <c r="I28" i="1"/>
  <c r="I26" i="1"/>
  <c r="C38" i="1"/>
  <c r="I34" i="1"/>
  <c r="I33" i="1"/>
  <c r="I27" i="1"/>
  <c r="I29" i="1"/>
  <c r="I31" i="1"/>
  <c r="I49" i="1"/>
  <c r="F55" i="1"/>
  <c r="C55" i="1"/>
  <c r="I51" i="1"/>
  <c r="I43" i="1"/>
  <c r="I44" i="1"/>
  <c r="I45" i="1"/>
  <c r="I48" i="1"/>
  <c r="I50" i="1"/>
  <c r="I47" i="1"/>
  <c r="I46" i="1"/>
  <c r="H50" i="1"/>
  <c r="H49" i="1"/>
  <c r="H44" i="1"/>
  <c r="H51" i="1"/>
  <c r="H46" i="1"/>
  <c r="H47" i="1"/>
  <c r="H43" i="1"/>
  <c r="H45" i="1"/>
  <c r="L71" i="1" l="1"/>
  <c r="L72" i="1" s="1"/>
  <c r="K72" i="1"/>
  <c r="H35" i="1"/>
  <c r="I35" i="1"/>
  <c r="H52" i="1"/>
  <c r="I52" i="1"/>
  <c r="G72" i="1" l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N107" i="1"/>
  <c r="N108" i="1"/>
  <c r="N109" i="1"/>
  <c r="N110" i="1"/>
  <c r="N111" i="1"/>
  <c r="N112" i="1"/>
  <c r="N113" i="1"/>
  <c r="N114" i="1"/>
  <c r="N115" i="1"/>
  <c r="E66" i="1"/>
  <c r="F66" i="1"/>
  <c r="G66" i="1"/>
  <c r="H66" i="1"/>
  <c r="I66" i="1"/>
  <c r="G67" i="1"/>
  <c r="H67" i="1"/>
  <c r="I67" i="1"/>
  <c r="M71" i="1"/>
  <c r="M72" i="1"/>
  <c r="E76" i="1"/>
  <c r="F76" i="1"/>
  <c r="G76" i="1"/>
  <c r="H76" i="1"/>
  <c r="I76" i="1"/>
  <c r="G77" i="1"/>
  <c r="H77" i="1"/>
  <c r="I77" i="1"/>
  <c r="N82" i="1"/>
  <c r="O82" i="1"/>
  <c r="P82" i="1"/>
  <c r="Q82" i="1"/>
  <c r="N83" i="1"/>
  <c r="O83" i="1"/>
  <c r="P83" i="1"/>
  <c r="Q83" i="1"/>
  <c r="M84" i="1"/>
  <c r="N84" i="1"/>
  <c r="O84" i="1"/>
  <c r="P84" i="1"/>
  <c r="Q84" i="1"/>
  <c r="N85" i="1"/>
  <c r="O85" i="1"/>
  <c r="P85" i="1"/>
  <c r="Q85" i="1"/>
  <c r="M86" i="1"/>
  <c r="N86" i="1"/>
  <c r="O86" i="1"/>
  <c r="P86" i="1"/>
  <c r="Q86" i="1"/>
  <c r="C87" i="1"/>
  <c r="F87" i="1"/>
  <c r="I87" i="1"/>
  <c r="C88" i="1"/>
  <c r="F88" i="1"/>
  <c r="I88" i="1"/>
  <c r="C89" i="1"/>
  <c r="F89" i="1"/>
  <c r="I89" i="1"/>
  <c r="C90" i="1"/>
  <c r="F90" i="1"/>
  <c r="I90" i="1"/>
  <c r="C91" i="1"/>
  <c r="F91" i="1"/>
  <c r="I91" i="1"/>
  <c r="C92" i="1"/>
  <c r="F92" i="1"/>
  <c r="I92" i="1"/>
  <c r="C93" i="1"/>
  <c r="F93" i="1"/>
  <c r="I93" i="1"/>
  <c r="C94" i="1"/>
  <c r="F94" i="1"/>
  <c r="I94" i="1"/>
  <c r="C95" i="1"/>
  <c r="F95" i="1"/>
  <c r="I95" i="1"/>
  <c r="C96" i="1"/>
  <c r="F96" i="1"/>
  <c r="I96" i="1"/>
  <c r="C97" i="1"/>
  <c r="F97" i="1"/>
  <c r="I97" i="1"/>
  <c r="C98" i="1"/>
  <c r="F98" i="1"/>
  <c r="I98" i="1"/>
  <c r="C99" i="1"/>
  <c r="F99" i="1"/>
  <c r="I99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E115" i="1"/>
  <c r="I115" i="1"/>
  <c r="J115" i="1"/>
  <c r="K115" i="1"/>
  <c r="F116" i="1"/>
  <c r="G116" i="1"/>
  <c r="H116" i="1"/>
  <c r="I116" i="1"/>
  <c r="J116" i="1"/>
  <c r="K116" i="1"/>
  <c r="L116" i="1"/>
  <c r="M116" i="1"/>
  <c r="N116" i="1"/>
  <c r="F117" i="1"/>
  <c r="H117" i="1"/>
  <c r="I117" i="1"/>
  <c r="J117" i="1"/>
  <c r="K117" i="1"/>
  <c r="L117" i="1"/>
  <c r="M117" i="1"/>
  <c r="N117" i="1"/>
  <c r="F118" i="1"/>
  <c r="H118" i="1"/>
  <c r="I118" i="1"/>
  <c r="J118" i="1"/>
  <c r="K118" i="1"/>
  <c r="L118" i="1"/>
  <c r="M118" i="1"/>
  <c r="N118" i="1"/>
  <c r="E119" i="1"/>
  <c r="F119" i="1"/>
  <c r="G119" i="1"/>
  <c r="H119" i="1"/>
  <c r="I119" i="1"/>
  <c r="J119" i="1"/>
  <c r="K119" i="1"/>
  <c r="M119" i="1"/>
  <c r="N119" i="1"/>
  <c r="C121" i="1"/>
  <c r="I121" i="1"/>
  <c r="N121" i="1"/>
  <c r="C122" i="1"/>
  <c r="F122" i="1"/>
  <c r="I122" i="1"/>
  <c r="N122" i="1"/>
  <c r="C123" i="1"/>
  <c r="N123" i="1"/>
  <c r="C127" i="1"/>
  <c r="C130" i="1"/>
  <c r="D130" i="1"/>
  <c r="C131" i="1"/>
  <c r="D131" i="1"/>
  <c r="C132" i="1"/>
  <c r="D132" i="1"/>
  <c r="K141" i="1"/>
  <c r="K142" i="1"/>
  <c r="K143" i="1"/>
  <c r="C144" i="1"/>
  <c r="C145" i="1"/>
  <c r="K145" i="1"/>
  <c r="C146" i="1"/>
  <c r="K146" i="1"/>
  <c r="C147" i="1"/>
  <c r="C148" i="1"/>
  <c r="C149" i="1"/>
  <c r="C150" i="1"/>
  <c r="K150" i="1" a="1"/>
  <c r="K150" i="1"/>
  <c r="C151" i="1"/>
  <c r="K151" i="1"/>
  <c r="C152" i="1"/>
  <c r="K152" i="1"/>
  <c r="C153" i="1"/>
  <c r="C154" i="1"/>
  <c r="K154" i="1"/>
  <c r="C155" i="1"/>
  <c r="K155" i="1"/>
  <c r="C156" i="1"/>
  <c r="C157" i="1"/>
  <c r="G161" i="1"/>
  <c r="I161" i="1"/>
  <c r="K161" i="1"/>
  <c r="L161" i="1"/>
  <c r="M161" i="1"/>
  <c r="N161" i="1"/>
  <c r="G162" i="1"/>
  <c r="I162" i="1"/>
  <c r="K162" i="1"/>
  <c r="L162" i="1"/>
  <c r="M162" i="1"/>
  <c r="N162" i="1"/>
  <c r="G163" i="1"/>
  <c r="I163" i="1"/>
  <c r="K163" i="1"/>
  <c r="L163" i="1"/>
  <c r="M163" i="1"/>
  <c r="N163" i="1"/>
  <c r="G164" i="1"/>
  <c r="I164" i="1"/>
  <c r="K164" i="1"/>
  <c r="L164" i="1"/>
  <c r="M164" i="1"/>
  <c r="N164" i="1"/>
  <c r="G165" i="1"/>
  <c r="I165" i="1"/>
  <c r="K165" i="1"/>
  <c r="L165" i="1"/>
  <c r="M165" i="1"/>
  <c r="N165" i="1"/>
  <c r="G166" i="1"/>
  <c r="I166" i="1"/>
  <c r="K166" i="1"/>
  <c r="L166" i="1"/>
  <c r="M166" i="1"/>
  <c r="N166" i="1"/>
  <c r="G167" i="1"/>
  <c r="I167" i="1"/>
  <c r="K167" i="1"/>
  <c r="L167" i="1"/>
  <c r="M167" i="1"/>
  <c r="N167" i="1"/>
  <c r="G168" i="1"/>
  <c r="I168" i="1"/>
  <c r="K168" i="1"/>
  <c r="L168" i="1"/>
  <c r="M168" i="1"/>
  <c r="N168" i="1"/>
  <c r="E169" i="1"/>
  <c r="G169" i="1"/>
  <c r="I169" i="1"/>
  <c r="K169" i="1"/>
  <c r="L169" i="1"/>
  <c r="M169" i="1"/>
  <c r="N169" i="1"/>
  <c r="F170" i="1"/>
  <c r="G170" i="1"/>
  <c r="H170" i="1"/>
  <c r="I170" i="1"/>
  <c r="K170" i="1"/>
  <c r="L170" i="1"/>
  <c r="M170" i="1"/>
  <c r="N170" i="1"/>
  <c r="F171" i="1"/>
  <c r="G171" i="1"/>
  <c r="I171" i="1"/>
  <c r="K171" i="1"/>
  <c r="L171" i="1"/>
  <c r="M171" i="1"/>
  <c r="N171" i="1"/>
  <c r="F172" i="1"/>
  <c r="G172" i="1"/>
  <c r="I172" i="1"/>
  <c r="K172" i="1"/>
  <c r="L172" i="1"/>
  <c r="M172" i="1"/>
  <c r="N172" i="1"/>
  <c r="G173" i="1"/>
  <c r="I173" i="1"/>
  <c r="J173" i="1"/>
  <c r="K173" i="1"/>
  <c r="L173" i="1"/>
  <c r="M173" i="1"/>
  <c r="N173" i="1"/>
  <c r="E174" i="1"/>
  <c r="F174" i="1"/>
  <c r="G174" i="1"/>
  <c r="H174" i="1"/>
  <c r="I174" i="1"/>
  <c r="J174" i="1"/>
  <c r="K174" i="1"/>
  <c r="L174" i="1"/>
  <c r="M174" i="1"/>
  <c r="N174" i="1"/>
  <c r="C176" i="1"/>
  <c r="C177" i="1"/>
  <c r="C17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<sst xmlns="http://schemas.openxmlformats.org/spreadsheetml/2006/main" count="298" uniqueCount="137">
  <si>
    <t>Holder</t>
  </si>
  <si>
    <t>Common Stock (Plan)</t>
  </si>
  <si>
    <t>Common Stock</t>
  </si>
  <si>
    <t>Options (Plan)</t>
  </si>
  <si>
    <t>Total Stock (Outstanding)</t>
  </si>
  <si>
    <t>Total Stock (Fully Diluted)</t>
  </si>
  <si>
    <t>George Bluth</t>
  </si>
  <si>
    <t>Lucille Bluth</t>
  </si>
  <si>
    <t>Michael Bluth</t>
  </si>
  <si>
    <t>GOB Bluth</t>
  </si>
  <si>
    <t>Lindsay Fünke</t>
  </si>
  <si>
    <t>George Michael Bluth (Mr. Manager)</t>
  </si>
  <si>
    <t>Maeby Fünke</t>
  </si>
  <si>
    <t>T-Bone</t>
  </si>
  <si>
    <t>Total</t>
  </si>
  <si>
    <t>% Outstanding</t>
  </si>
  <si>
    <t>% Fully Diluted</t>
  </si>
  <si>
    <t>Total Plan Size</t>
  </si>
  <si>
    <t>Grant size %</t>
  </si>
  <si>
    <t>Grant size shares</t>
  </si>
  <si>
    <t>SAFE holder</t>
  </si>
  <si>
    <t>Sitwell Ventures, LP</t>
  </si>
  <si>
    <t>Amount</t>
  </si>
  <si>
    <t>Post-money Cap</t>
  </si>
  <si>
    <t>Company Capitalization</t>
  </si>
  <si>
    <t>Conversion Price</t>
  </si>
  <si>
    <t>Number of Shares</t>
  </si>
  <si>
    <t>Pre-money Valuation</t>
  </si>
  <si>
    <t>New Money</t>
  </si>
  <si>
    <t>New-money Price</t>
  </si>
  <si>
    <t>New-money Shares</t>
  </si>
  <si>
    <t>FD Post-money Shares</t>
  </si>
  <si>
    <t>New-money FD %</t>
  </si>
  <si>
    <t>Convertibles FD %</t>
  </si>
  <si>
    <t>Common (non-Plan) FD %</t>
  </si>
  <si>
    <t>Options FD%</t>
  </si>
  <si>
    <t>Pool shares added</t>
  </si>
  <si>
    <t>Current available pool</t>
  </si>
  <si>
    <t>Target Available Pool (shares)</t>
  </si>
  <si>
    <t>Target Available Pool (% FD)</t>
  </si>
  <si>
    <t>Available Pool FD %</t>
  </si>
  <si>
    <t>Discount</t>
  </si>
  <si>
    <t>Series A New Money Price</t>
  </si>
  <si>
    <t>(A) Post-money SAFE with Valuation Cap</t>
  </si>
  <si>
    <t>Series A inputs and calculations (A)</t>
  </si>
  <si>
    <t>Note holder</t>
  </si>
  <si>
    <t>Issuance Date</t>
  </si>
  <si>
    <t>Interest Rate</t>
  </si>
  <si>
    <t>Financing Date</t>
  </si>
  <si>
    <t>Total Interest</t>
  </si>
  <si>
    <t>Pre-money Cap</t>
  </si>
  <si>
    <t>Principal + Interest</t>
  </si>
  <si>
    <t>Original Principal</t>
  </si>
  <si>
    <t>Capitalization</t>
  </si>
  <si>
    <t>Series A inputs and calculations (B)</t>
  </si>
  <si>
    <t>FD % Post-financing</t>
  </si>
  <si>
    <t>FD % Pre-financing</t>
  </si>
  <si>
    <t>Post-money Valuation</t>
  </si>
  <si>
    <t>(B) Convertible Note with Pre-Money Valuation Cap (simple interest, 365-day year, SHL form)</t>
  </si>
  <si>
    <t>(C) SAFE with Discount</t>
  </si>
  <si>
    <t>Pre-money Capitalization</t>
  </si>
  <si>
    <t>Series A-1 Preferred Stock (New Money)</t>
  </si>
  <si>
    <t>Series A-2 Preferred Stock (SAFE Conversion)</t>
  </si>
  <si>
    <t>Unallocated shares (Plan)</t>
  </si>
  <si>
    <t>Series A Investors</t>
  </si>
  <si>
    <t>Standpoor Enterprises, LLC</t>
  </si>
  <si>
    <t>Gobias Industries, Inc.</t>
  </si>
  <si>
    <t>Target Investment</t>
  </si>
  <si>
    <t>Actual Investment</t>
  </si>
  <si>
    <t>% FD (post-money)</t>
  </si>
  <si>
    <t>% of Preferred Stock</t>
  </si>
  <si>
    <t>Remaining in Round</t>
  </si>
  <si>
    <t>Existing Preferred Shares</t>
  </si>
  <si>
    <t>New Money Shares</t>
  </si>
  <si>
    <t>% Available (FD)</t>
  </si>
  <si>
    <t>Major Investor?</t>
  </si>
  <si>
    <t>Series A-1 Orig. Issue Price</t>
  </si>
  <si>
    <t>Series A-2 Orig. Issue Price</t>
  </si>
  <si>
    <t>Major Investor Threshold</t>
  </si>
  <si>
    <t>Participation Rights Holder</t>
  </si>
  <si>
    <t>Pro Rata %</t>
  </si>
  <si>
    <t>Amount of Series B</t>
  </si>
  <si>
    <t>Remaining after Participation Rights</t>
  </si>
  <si>
    <t>Proposed Series B Round Size</t>
  </si>
  <si>
    <t>Voting (Y/N)</t>
  </si>
  <si>
    <t>Majority of Capital Stock?</t>
  </si>
  <si>
    <t>Majority of Preferred Stock?</t>
  </si>
  <si>
    <t>Major Investor Majority?</t>
  </si>
  <si>
    <t>Y</t>
  </si>
  <si>
    <t>Total Preferred Stock</t>
  </si>
  <si>
    <t>Total Shares Held by Major Investors</t>
  </si>
  <si>
    <t>Series A-1 Common Equivalents</t>
  </si>
  <si>
    <t>Series A-2 Common Equivalents</t>
  </si>
  <si>
    <t>Number of "common shares" deemed issued in the Series B financing</t>
  </si>
  <si>
    <t>Amount invested in Series B financing</t>
  </si>
  <si>
    <t>Value</t>
  </si>
  <si>
    <t>Charter label</t>
  </si>
  <si>
    <t>Series B inputs and calculations</t>
  </si>
  <si>
    <t>Series A-1 &amp; A-2 FD %</t>
  </si>
  <si>
    <t>Number of common shares outstanding and deemed outstanding immediately before Series B (FD, incl. Series A)</t>
  </si>
  <si>
    <t>Anti-dilution inputs and calculations (Series A-1)</t>
  </si>
  <si>
    <t>Initial Series A-1 Conversion Price</t>
  </si>
  <si>
    <t>Number of "common shares" that would have been issued had such additional "common shares" been issued at Series A-1 price</t>
  </si>
  <si>
    <t>Anti-dilution inputs and calculations (Series A-2)</t>
  </si>
  <si>
    <t>Initial Series A-2 Conversion Price</t>
  </si>
  <si>
    <t>Number of common shares outstanding and deemed outstanding immediately before Series B (FD, as converted)</t>
  </si>
  <si>
    <t>CP1</t>
  </si>
  <si>
    <t>A</t>
  </si>
  <si>
    <t>C</t>
  </si>
  <si>
    <t>B</t>
  </si>
  <si>
    <t>CP2</t>
  </si>
  <si>
    <t>New Series A-1 conversion price (if applicable)</t>
  </si>
  <si>
    <t>New Series A-2 conversion price (if applicable)</t>
  </si>
  <si>
    <t>Series A-1 Preferred Stock</t>
  </si>
  <si>
    <t xml:space="preserve">Series A-2 Preferred Stock </t>
  </si>
  <si>
    <r>
      <t>Dr. F</t>
    </r>
    <r>
      <rPr>
        <sz val="11"/>
        <color theme="1"/>
        <rFont val="Calibri"/>
        <family val="2"/>
      </rPr>
      <t>ünke's</t>
    </r>
    <r>
      <rPr>
        <sz val="11"/>
        <color theme="1"/>
        <rFont val="Calibri"/>
        <family val="2"/>
        <scheme val="minor"/>
      </rPr>
      <t xml:space="preserve"> 100% Natural Good-Time Family Venture Partners</t>
    </r>
  </si>
  <si>
    <t>Series B Preferred Stock (New Money)</t>
  </si>
  <si>
    <t>STEP ONE</t>
  </si>
  <si>
    <t>STEP TWO</t>
  </si>
  <si>
    <t>STEPS THREE AND FOUR</t>
  </si>
  <si>
    <t>01 INTRO - CAP TABLES</t>
  </si>
  <si>
    <t>02 SAFEs AND CONVERTIBLE NOTES; 03 FIRST PREFERRED EQUITY FINANCING AND POOL EXPANSION</t>
  </si>
  <si>
    <t>04 PARTICIPATION RIGHTS AND 'MAJOR INVESTORS'; 05 VOTING CHEAT SHEET</t>
  </si>
  <si>
    <t>06 ANTI-DILUTION PROTECTION IN A DOWN ROUND</t>
  </si>
  <si>
    <t>Simple cap table</t>
  </si>
  <si>
    <t>Adding an option pool</t>
  </si>
  <si>
    <t>Series A inputs and calculations (C)</t>
  </si>
  <si>
    <t>Note: This assumes that the bridge round was a SAFE with post-money valuation cap (scenario (A) in Section 02).</t>
  </si>
  <si>
    <t>Jay P. Buchanan, Optimal Counsel LLP</t>
  </si>
  <si>
    <r>
      <t xml:space="preserve">*** </t>
    </r>
    <r>
      <rPr>
        <b/>
        <i/>
        <u/>
        <sz val="10"/>
        <color rgb="FFFF0000"/>
        <rFont val="Calibri"/>
        <family val="2"/>
        <scheme val="minor"/>
      </rPr>
      <t>Disclaimer</t>
    </r>
    <r>
      <rPr>
        <b/>
        <i/>
        <sz val="10"/>
        <color rgb="FFFF0000"/>
        <rFont val="Calibri"/>
        <family val="2"/>
        <scheme val="minor"/>
      </rPr>
      <t xml:space="preserve">: These models are for educational purposes only and are intended to be used in consultation with </t>
    </r>
    <r>
      <rPr>
        <b/>
        <i/>
        <u/>
        <sz val="10"/>
        <color rgb="FFFF0000"/>
        <rFont val="Calibri"/>
        <family val="2"/>
        <scheme val="minor"/>
      </rPr>
      <t>experienced legal counsel</t>
    </r>
    <r>
      <rPr>
        <b/>
        <i/>
        <sz val="10"/>
        <color rgb="FFFF0000"/>
        <rFont val="Calibri"/>
        <family val="2"/>
        <scheme val="minor"/>
      </rPr>
      <t xml:space="preserve"> with a full understanding of the context in which the models are being used.</t>
    </r>
  </si>
  <si>
    <t>By downloading or using these models, you agree that neither I nor Optimal Counsel LLP bears any responsibility for your use or misuse of the models.</t>
  </si>
  <si>
    <t>These models are provided as-is with no warranty whatsoever, including as to accuracy of calculations or applicability to any particular situation.</t>
  </si>
  <si>
    <t>ALWAYS consult your company's lawyer before making any decisions or taking any actions relating to the scenarios covered by these models. ***</t>
  </si>
  <si>
    <t>OpenStartupModel.com: Example Spreadsheet</t>
  </si>
  <si>
    <t>Example Company: Bluth's Frozen Banana Technologies, Inc.</t>
  </si>
  <si>
    <t>Please don't redistribute this model without attribution to OpenStartupModel.com or resell this model.</t>
  </si>
  <si>
    <t>Last updated October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</si>
</sst>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i/>
      <sz val="12"/>
      <color theme="3"/>
      <name val="Calibri Light"/>
      <family val="2"/>
      <scheme val="major"/>
    </font>
    <font>
      <i/>
      <sz val="10"/>
      <color theme="3"/>
      <name val="Calibri Light"/>
      <family val="2"/>
      <scheme val="major"/>
    </font>
    <font>
      <sz val="24"/>
      <color theme="3"/>
      <name val="Calibri Light"/>
      <family val="2"/>
      <scheme val="maj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rgb="FF7F7F7F"/>
      </left>
      <right style="hair">
        <color auto="1"/>
      </right>
      <top style="thin">
        <color rgb="FF7F7F7F"/>
      </top>
      <bottom style="thin">
        <color rgb="FF7F7F7F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  <border>
      <left style="mediumDashed">
        <color auto="1"/>
      </left>
      <right/>
      <top style="mediumDashed">
        <color auto="1"/>
      </top>
      <bottom style="thin">
        <color theme="7" tint="0.39997558519241921"/>
      </bottom>
      <diagonal/>
    </border>
    <border>
      <left/>
      <right/>
      <top style="mediumDashed">
        <color auto="1"/>
      </top>
      <bottom style="thin">
        <color theme="7" tint="0.39997558519241921"/>
      </bottom>
      <diagonal/>
    </border>
    <border>
      <left/>
      <right style="mediumDashed">
        <color auto="1"/>
      </right>
      <top style="mediumDashed">
        <color auto="1"/>
      </top>
      <bottom style="thin">
        <color theme="7" tint="0.39997558519241921"/>
      </bottom>
      <diagonal/>
    </border>
    <border>
      <left style="mediumDashed">
        <color auto="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mediumDashed">
        <color auto="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mediumDashed">
        <color auto="1"/>
      </right>
      <top style="thin">
        <color theme="7" tint="0.39997558519241921"/>
      </top>
      <bottom/>
      <diagonal/>
    </border>
    <border>
      <left style="mediumDashed">
        <color auto="1"/>
      </left>
      <right/>
      <top style="thin">
        <color theme="7" tint="0.39997558519241921"/>
      </top>
      <bottom style="mediumDashed">
        <color auto="1"/>
      </bottom>
      <diagonal/>
    </border>
    <border>
      <left/>
      <right/>
      <top style="thin">
        <color theme="7" tint="0.39997558519241921"/>
      </top>
      <bottom style="mediumDashed">
        <color auto="1"/>
      </bottom>
      <diagonal/>
    </border>
    <border>
      <left/>
      <right style="mediumDashed">
        <color auto="1"/>
      </right>
      <top style="thin">
        <color theme="7" tint="0.39997558519241921"/>
      </top>
      <bottom style="medium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4" fontId="1" fillId="0" borderId="0" applyFon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0" fillId="3" borderId="0" xfId="0" applyFill="1"/>
    <xf numFmtId="164" fontId="0" fillId="0" borderId="0" xfId="1" applyNumberFormat="1" applyFont="1" applyFill="1"/>
    <xf numFmtId="164" fontId="0" fillId="0" borderId="0" xfId="0" applyNumberFormat="1"/>
    <xf numFmtId="10" fontId="0" fillId="0" borderId="0" xfId="2" applyNumberFormat="1" applyFont="1" applyFill="1"/>
    <xf numFmtId="0" fontId="0" fillId="0" borderId="0" xfId="0" applyAlignment="1">
      <alignment wrapText="1"/>
    </xf>
    <xf numFmtId="10" fontId="1" fillId="0" borderId="0" xfId="0" applyNumberFormat="1" applyFont="1"/>
    <xf numFmtId="0" fontId="0" fillId="0" borderId="0" xfId="0" applyAlignment="1">
      <alignment horizontal="center" wrapText="1"/>
    </xf>
    <xf numFmtId="164" fontId="0" fillId="4" borderId="3" xfId="1" applyNumberFormat="1" applyFont="1" applyFill="1" applyBorder="1"/>
    <xf numFmtId="10" fontId="0" fillId="4" borderId="5" xfId="2" applyNumberFormat="1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166" fontId="0" fillId="4" borderId="5" xfId="0" applyNumberFormat="1" applyFill="1" applyBorder="1"/>
    <xf numFmtId="165" fontId="2" fillId="2" borderId="1" xfId="3" applyNumberFormat="1"/>
    <xf numFmtId="0" fontId="0" fillId="5" borderId="0" xfId="0" applyFill="1" applyAlignment="1">
      <alignment horizontal="center" wrapText="1"/>
    </xf>
    <xf numFmtId="164" fontId="4" fillId="0" borderId="0" xfId="1" applyNumberFormat="1" applyFont="1" applyFill="1"/>
    <xf numFmtId="10" fontId="4" fillId="0" borderId="0" xfId="2" applyNumberFormat="1" applyFont="1" applyFill="1"/>
    <xf numFmtId="10" fontId="4" fillId="4" borderId="5" xfId="2" applyNumberFormat="1" applyFont="1" applyFill="1" applyBorder="1"/>
    <xf numFmtId="166" fontId="4" fillId="4" borderId="5" xfId="0" applyNumberFormat="1" applyFont="1" applyFill="1" applyBorder="1"/>
    <xf numFmtId="44" fontId="0" fillId="3" borderId="0" xfId="4" applyFont="1" applyFill="1"/>
    <xf numFmtId="164" fontId="0" fillId="3" borderId="0" xfId="0" applyNumberFormat="1" applyFill="1"/>
    <xf numFmtId="0" fontId="1" fillId="3" borderId="0" xfId="0" applyFont="1" applyFill="1"/>
    <xf numFmtId="167" fontId="0" fillId="0" borderId="0" xfId="4" applyNumberFormat="1" applyFont="1" applyFill="1"/>
    <xf numFmtId="44" fontId="0" fillId="0" borderId="0" xfId="4" applyFont="1" applyFill="1"/>
    <xf numFmtId="168" fontId="0" fillId="0" borderId="0" xfId="4" applyNumberFormat="1" applyFont="1" applyFill="1"/>
    <xf numFmtId="9" fontId="0" fillId="0" borderId="0" xfId="2" applyFont="1" applyFill="1"/>
    <xf numFmtId="10" fontId="0" fillId="3" borderId="0" xfId="0" applyNumberFormat="1" applyFill="1"/>
    <xf numFmtId="167" fontId="0" fillId="3" borderId="0" xfId="0" applyNumberFormat="1" applyFill="1"/>
    <xf numFmtId="0" fontId="3" fillId="3" borderId="0" xfId="0" applyFont="1" applyFill="1"/>
    <xf numFmtId="14" fontId="0" fillId="0" borderId="0" xfId="2" applyNumberFormat="1" applyFont="1" applyFill="1"/>
    <xf numFmtId="167" fontId="1" fillId="3" borderId="0" xfId="0" applyNumberFormat="1" applyFont="1" applyFill="1"/>
    <xf numFmtId="44" fontId="0" fillId="3" borderId="0" xfId="0" applyNumberFormat="1" applyFill="1"/>
    <xf numFmtId="0" fontId="0" fillId="3" borderId="6" xfId="0" applyFill="1" applyBorder="1"/>
    <xf numFmtId="167" fontId="2" fillId="2" borderId="7" xfId="3" applyNumberFormat="1" applyBorder="1"/>
    <xf numFmtId="10" fontId="2" fillId="2" borderId="7" xfId="3" applyNumberFormat="1" applyBorder="1"/>
    <xf numFmtId="14" fontId="2" fillId="2" borderId="7" xfId="3" applyNumberFormat="1" applyBorder="1"/>
    <xf numFmtId="164" fontId="0" fillId="3" borderId="8" xfId="1" applyNumberFormat="1" applyFont="1" applyFill="1" applyBorder="1"/>
    <xf numFmtId="164" fontId="0" fillId="3" borderId="8" xfId="0" applyNumberFormat="1" applyFill="1" applyBorder="1"/>
    <xf numFmtId="168" fontId="0" fillId="3" borderId="8" xfId="4" applyNumberFormat="1" applyFont="1" applyFill="1" applyBorder="1"/>
    <xf numFmtId="164" fontId="3" fillId="3" borderId="8" xfId="0" applyNumberFormat="1" applyFont="1" applyFill="1" applyBorder="1"/>
    <xf numFmtId="0" fontId="0" fillId="3" borderId="4" xfId="0" applyFill="1" applyBorder="1"/>
    <xf numFmtId="10" fontId="3" fillId="3" borderId="5" xfId="0" applyNumberFormat="1" applyFont="1" applyFill="1" applyBorder="1"/>
    <xf numFmtId="10" fontId="0" fillId="0" borderId="0" xfId="0" applyNumberFormat="1"/>
    <xf numFmtId="0" fontId="0" fillId="6" borderId="3" xfId="0" applyFill="1" applyBorder="1"/>
    <xf numFmtId="0" fontId="0" fillId="7" borderId="3" xfId="0" applyFill="1" applyBorder="1"/>
    <xf numFmtId="0" fontId="5" fillId="5" borderId="2" xfId="0" applyFont="1" applyFill="1" applyBorder="1"/>
    <xf numFmtId="0" fontId="6" fillId="5" borderId="3" xfId="0" applyFont="1" applyFill="1" applyBorder="1"/>
    <xf numFmtId="0" fontId="5" fillId="7" borderId="2" xfId="0" applyFont="1" applyFill="1" applyBorder="1"/>
    <xf numFmtId="0" fontId="5" fillId="6" borderId="2" xfId="0" applyFont="1" applyFill="1" applyBorder="1"/>
    <xf numFmtId="0" fontId="0" fillId="8" borderId="0" xfId="0" applyFill="1"/>
    <xf numFmtId="44" fontId="1" fillId="3" borderId="8" xfId="4" applyFont="1" applyFill="1" applyBorder="1"/>
    <xf numFmtId="0" fontId="0" fillId="9" borderId="9" xfId="0" applyFill="1" applyBorder="1"/>
    <xf numFmtId="10" fontId="0" fillId="9" borderId="10" xfId="2" applyNumberFormat="1" applyFont="1" applyFill="1" applyBorder="1"/>
    <xf numFmtId="0" fontId="0" fillId="9" borderId="6" xfId="0" applyFill="1" applyBorder="1"/>
    <xf numFmtId="10" fontId="0" fillId="9" borderId="8" xfId="2" applyNumberFormat="1" applyFont="1" applyFill="1" applyBorder="1"/>
    <xf numFmtId="10" fontId="7" fillId="9" borderId="8" xfId="2" applyNumberFormat="1" applyFont="1" applyFill="1" applyBorder="1"/>
    <xf numFmtId="0" fontId="0" fillId="9" borderId="11" xfId="0" applyFill="1" applyBorder="1"/>
    <xf numFmtId="10" fontId="0" fillId="9" borderId="12" xfId="2" applyNumberFormat="1" applyFont="1" applyFill="1" applyBorder="1"/>
    <xf numFmtId="167" fontId="8" fillId="3" borderId="8" xfId="4" applyNumberFormat="1" applyFont="1" applyFill="1" applyBorder="1"/>
    <xf numFmtId="167" fontId="8" fillId="3" borderId="8" xfId="0" applyNumberFormat="1" applyFont="1" applyFill="1" applyBorder="1"/>
    <xf numFmtId="10" fontId="8" fillId="3" borderId="8" xfId="2" applyNumberFormat="1" applyFont="1" applyFill="1" applyBorder="1"/>
    <xf numFmtId="14" fontId="8" fillId="3" borderId="8" xfId="0" applyNumberFormat="1" applyFont="1" applyFill="1" applyBorder="1"/>
    <xf numFmtId="0" fontId="0" fillId="0" borderId="0" xfId="0" applyAlignment="1">
      <alignment horizontal="left" indent="2"/>
    </xf>
    <xf numFmtId="44" fontId="0" fillId="0" borderId="0" xfId="0" applyNumberFormat="1"/>
    <xf numFmtId="0" fontId="10" fillId="3" borderId="0" xfId="0" applyFont="1" applyFill="1"/>
    <xf numFmtId="164" fontId="1" fillId="0" borderId="0" xfId="1" applyNumberFormat="1" applyFont="1" applyFill="1"/>
    <xf numFmtId="0" fontId="10" fillId="0" borderId="0" xfId="0" applyFont="1" applyAlignment="1">
      <alignment horizontal="left" indent="2"/>
    </xf>
    <xf numFmtId="164" fontId="1" fillId="0" borderId="0" xfId="0" applyNumberFormat="1" applyFont="1"/>
    <xf numFmtId="44" fontId="1" fillId="0" borderId="0" xfId="0" applyNumberFormat="1" applyFont="1"/>
    <xf numFmtId="10" fontId="1" fillId="0" borderId="0" xfId="2" applyNumberFormat="1" applyFont="1" applyFill="1"/>
    <xf numFmtId="0" fontId="3" fillId="4" borderId="6" xfId="0" applyFont="1" applyFill="1" applyBorder="1"/>
    <xf numFmtId="10" fontId="0" fillId="4" borderId="8" xfId="2" applyNumberFormat="1" applyFont="1" applyFill="1" applyBorder="1"/>
    <xf numFmtId="0" fontId="0" fillId="4" borderId="4" xfId="0" applyFill="1" applyBorder="1"/>
    <xf numFmtId="0" fontId="0" fillId="4" borderId="2" xfId="0" applyFill="1" applyBorder="1"/>
    <xf numFmtId="168" fontId="0" fillId="4" borderId="3" xfId="0" applyNumberFormat="1" applyFill="1" applyBorder="1"/>
    <xf numFmtId="0" fontId="0" fillId="4" borderId="6" xfId="0" applyFill="1" applyBorder="1"/>
    <xf numFmtId="168" fontId="0" fillId="4" borderId="8" xfId="0" applyNumberFormat="1" applyFill="1" applyBorder="1"/>
    <xf numFmtId="167" fontId="2" fillId="2" borderId="1" xfId="3" applyNumberFormat="1"/>
    <xf numFmtId="0" fontId="0" fillId="3" borderId="2" xfId="0" applyFill="1" applyBorder="1"/>
    <xf numFmtId="44" fontId="0" fillId="3" borderId="3" xfId="4" applyFont="1" applyFill="1" applyBorder="1"/>
    <xf numFmtId="44" fontId="0" fillId="3" borderId="5" xfId="4" applyFont="1" applyFill="1" applyBorder="1"/>
    <xf numFmtId="0" fontId="0" fillId="0" borderId="0" xfId="0" applyAlignment="1">
      <alignment horizontal="center"/>
    </xf>
    <xf numFmtId="0" fontId="0" fillId="7" borderId="0" xfId="0" applyFill="1" applyAlignment="1">
      <alignment wrapText="1"/>
    </xf>
    <xf numFmtId="0" fontId="0" fillId="10" borderId="2" xfId="0" applyFill="1" applyBorder="1"/>
    <xf numFmtId="0" fontId="0" fillId="10" borderId="3" xfId="0" applyFill="1" applyBorder="1"/>
    <xf numFmtId="0" fontId="0" fillId="10" borderId="6" xfId="0" applyFill="1" applyBorder="1"/>
    <xf numFmtId="0" fontId="0" fillId="10" borderId="8" xfId="0" applyFill="1" applyBorder="1"/>
    <xf numFmtId="0" fontId="0" fillId="10" borderId="4" xfId="0" applyFill="1" applyBorder="1"/>
    <xf numFmtId="0" fontId="0" fillId="10" borderId="5" xfId="0" applyFill="1" applyBorder="1"/>
    <xf numFmtId="168" fontId="0" fillId="3" borderId="0" xfId="0" applyNumberForma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164" fontId="0" fillId="3" borderId="0" xfId="1" applyNumberFormat="1" applyFon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168" fontId="3" fillId="3" borderId="0" xfId="4" applyNumberFormat="1" applyFont="1" applyFill="1"/>
    <xf numFmtId="164" fontId="0" fillId="0" borderId="13" xfId="1" applyNumberFormat="1" applyFont="1" applyFill="1" applyBorder="1"/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0" fillId="0" borderId="13" xfId="0" applyBorder="1"/>
    <xf numFmtId="10" fontId="0" fillId="0" borderId="13" xfId="2" applyNumberFormat="1" applyFont="1" applyFill="1" applyBorder="1"/>
    <xf numFmtId="0" fontId="0" fillId="0" borderId="13" xfId="0" applyBorder="1" applyAlignment="1">
      <alignment horizontal="left" indent="2"/>
    </xf>
    <xf numFmtId="0" fontId="0" fillId="0" borderId="15" xfId="0" applyBorder="1"/>
    <xf numFmtId="164" fontId="0" fillId="0" borderId="15" xfId="1" applyNumberFormat="1" applyFont="1" applyFill="1" applyBorder="1"/>
    <xf numFmtId="10" fontId="0" fillId="0" borderId="15" xfId="2" applyNumberFormat="1" applyFont="1" applyFill="1" applyBorder="1"/>
    <xf numFmtId="164" fontId="0" fillId="0" borderId="15" xfId="0" applyNumberFormat="1" applyBorder="1"/>
    <xf numFmtId="10" fontId="1" fillId="0" borderId="15" xfId="2" applyNumberFormat="1" applyFont="1" applyFill="1" applyBorder="1"/>
    <xf numFmtId="0" fontId="12" fillId="3" borderId="0" xfId="0" applyFont="1" applyFill="1"/>
    <xf numFmtId="10" fontId="0" fillId="0" borderId="15" xfId="2" applyNumberFormat="1" applyFont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0" fontId="5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164" fontId="0" fillId="0" borderId="19" xfId="1" applyNumberFormat="1" applyFont="1" applyFill="1" applyBorder="1"/>
    <xf numFmtId="164" fontId="14" fillId="0" borderId="20" xfId="1" applyNumberFormat="1" applyFont="1" applyFill="1" applyBorder="1"/>
    <xf numFmtId="164" fontId="14" fillId="0" borderId="21" xfId="1" applyNumberFormat="1" applyFont="1" applyFill="1" applyBorder="1"/>
    <xf numFmtId="164" fontId="0" fillId="0" borderId="22" xfId="0" applyNumberFormat="1" applyBorder="1"/>
    <xf numFmtId="164" fontId="14" fillId="0" borderId="23" xfId="0" applyNumberFormat="1" applyFont="1" applyBorder="1"/>
    <xf numFmtId="164" fontId="0" fillId="0" borderId="23" xfId="0" applyNumberFormat="1" applyBorder="1"/>
    <xf numFmtId="164" fontId="14" fillId="0" borderId="24" xfId="0" applyNumberFormat="1" applyFont="1" applyBorder="1"/>
    <xf numFmtId="0" fontId="15" fillId="0" borderId="13" xfId="0" applyFont="1" applyBorder="1" applyAlignment="1">
      <alignment horizontal="left" indent="2"/>
    </xf>
    <xf numFmtId="164" fontId="15" fillId="0" borderId="13" xfId="1" applyNumberFormat="1" applyFont="1" applyFill="1" applyBorder="1"/>
    <xf numFmtId="164" fontId="15" fillId="0" borderId="19" xfId="1" applyNumberFormat="1" applyFont="1" applyFill="1" applyBorder="1"/>
    <xf numFmtId="164" fontId="15" fillId="0" borderId="20" xfId="1" applyNumberFormat="1" applyFont="1" applyFill="1" applyBorder="1"/>
    <xf numFmtId="10" fontId="15" fillId="0" borderId="13" xfId="2" applyNumberFormat="1" applyFont="1" applyFill="1" applyBorder="1"/>
    <xf numFmtId="0" fontId="15" fillId="0" borderId="0" xfId="0" applyFont="1" applyAlignment="1">
      <alignment horizontal="left" indent="2"/>
    </xf>
    <xf numFmtId="164" fontId="15" fillId="0" borderId="0" xfId="1" applyNumberFormat="1" applyFont="1" applyFill="1"/>
    <xf numFmtId="10" fontId="15" fillId="0" borderId="0" xfId="2" applyNumberFormat="1" applyFont="1" applyFill="1"/>
    <xf numFmtId="164" fontId="16" fillId="0" borderId="0" xfId="1" applyNumberFormat="1" applyFont="1" applyFill="1"/>
    <xf numFmtId="0" fontId="16" fillId="0" borderId="0" xfId="0" applyFont="1" applyAlignment="1">
      <alignment horizontal="center"/>
    </xf>
    <xf numFmtId="0" fontId="13" fillId="0" borderId="14" xfId="0" applyFont="1" applyBorder="1" applyAlignment="1">
      <alignment horizontal="center" wrapText="1"/>
    </xf>
    <xf numFmtId="164" fontId="19" fillId="0" borderId="13" xfId="1" applyNumberFormat="1" applyFont="1" applyFill="1" applyBorder="1"/>
    <xf numFmtId="164" fontId="14" fillId="0" borderId="15" xfId="0" applyNumberFormat="1" applyFont="1" applyBorder="1"/>
    <xf numFmtId="0" fontId="17" fillId="3" borderId="25" xfId="5" applyFill="1"/>
    <xf numFmtId="0" fontId="18" fillId="3" borderId="26" xfId="6" applyFill="1"/>
    <xf numFmtId="44" fontId="2" fillId="2" borderId="1" xfId="3" applyNumberFormat="1"/>
    <xf numFmtId="10" fontId="4" fillId="3" borderId="0" xfId="2" applyNumberFormat="1" applyFont="1" applyFill="1" applyBorder="1"/>
    <xf numFmtId="166" fontId="4" fillId="3" borderId="0" xfId="0" applyNumberFormat="1" applyFont="1" applyFill="1"/>
    <xf numFmtId="0" fontId="0" fillId="11" borderId="0" xfId="0" applyFill="1"/>
    <xf numFmtId="0" fontId="22" fillId="11" borderId="0" xfId="7" applyFont="1" applyFill="1"/>
    <xf numFmtId="0" fontId="21" fillId="11" borderId="0" xfId="7" applyFont="1" applyFill="1"/>
    <xf numFmtId="0" fontId="23" fillId="11" borderId="0" xfId="7" applyFont="1" applyFill="1"/>
    <xf numFmtId="0" fontId="24" fillId="11" borderId="0" xfId="7" applyFont="1" applyFill="1"/>
    <xf numFmtId="0" fontId="25" fillId="3" borderId="0" xfId="0" applyFont="1" applyFill="1"/>
    <xf numFmtId="0" fontId="27" fillId="3" borderId="0" xfId="0" applyFont="1" applyFill="1"/>
  </cellXfs>
  <cellStyles count="8">
    <cellStyle name="Comma" xfId="1" builtinId="3"/>
    <cellStyle name="Currency" xfId="4" builtinId="4"/>
    <cellStyle name="Heading 1" xfId="5" builtinId="16"/>
    <cellStyle name="Heading 2" xfId="6" builtinId="17"/>
    <cellStyle name="Input" xfId="3" builtinId="20"/>
    <cellStyle name="Normal" xfId="0" builtinId="0"/>
    <cellStyle name="Percent" xfId="2" builtinId="5"/>
    <cellStyle name="Title" xfId="7" builtinId="15"/>
  </cellStyles>
  <dxfs count="19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border outline="0">
        <top style="thin">
          <color theme="7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7" tint="0.39997558519241921"/>
        </left>
        <top style="thin">
          <color theme="7" tint="0.39997558519241921"/>
        </top>
        <bottom style="thin">
          <color theme="7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7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border diagonalUp="0" diagonalDown="0" outline="0">
        <left/>
        <right style="mediumDashed">
          <color auto="1"/>
        </right>
        <top style="thin">
          <color theme="7" tint="0.39997558519241921"/>
        </top>
        <bottom style="medium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 style="medium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 style="medium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</border>
    </dxf>
    <dxf>
      <numFmt numFmtId="164" formatCode="_(* #,##0_);_(* \(#,##0\);_(* &quot;-&quot;??_);_(@_)"/>
      <border diagonalUp="0" diagonalDown="0" outline="0">
        <left style="mediumDashed">
          <color auto="1"/>
        </left>
        <right/>
        <top style="thin">
          <color theme="7" tint="0.39997558519241921"/>
        </top>
        <bottom style="medium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mediumDashed">
          <color auto="1"/>
        </left>
        <right/>
        <top style="thin">
          <color theme="7" tint="0.39997558519241921"/>
        </top>
        <bottom style="thin">
          <color theme="7" tint="0.39997558519241921"/>
        </bottom>
        <vertic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7" tint="0.39997558519241921"/>
        </top>
        <bottom style="thin">
          <color theme="7" tint="0.39997558519241921"/>
        </bottom>
      </border>
    </dxf>
    <dxf>
      <border diagonalUp="0" diagonalDown="0" outline="0">
        <left/>
        <right/>
        <top style="thin">
          <color theme="7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theme="7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7" tint="0.39997558519241921"/>
        </lef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8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numFmt numFmtId="14" formatCode="0.00%"/>
      <fill>
        <patternFill patternType="solid">
          <fgColor indexed="64"/>
          <bgColor theme="0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</dxf>
    <dxf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m/d/yy"/>
      <fill>
        <patternFill patternType="none">
          <fgColor indexed="64"/>
          <bgColor auto="1"/>
        </patternFill>
      </fill>
    </dxf>
    <dxf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</dxf>
    <dxf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solid">
          <fgColor indexed="64"/>
          <bgColor theme="0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  <fill>
        <patternFill patternType="solid">
          <fgColor indexed="64"/>
          <bgColor theme="0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solid">
          <fgColor indexed="64"/>
          <bgColor theme="0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numFmt numFmtId="168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numFmt numFmtId="168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</dxf>
    <dxf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solid">
          <fgColor indexed="64"/>
          <bgColor theme="0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  <fill>
        <patternFill patternType="solid">
          <fgColor indexed="64"/>
          <bgColor theme="0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solid">
          <fgColor indexed="64"/>
          <bgColor theme="0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numFmt numFmtId="168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</dxf>
    <dxf>
      <numFmt numFmtId="167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B0D0C5-4966-43CD-A1E8-37B5D1E3E89A}" name="SimpleCapTableWithAllocatedPool" displayName="SimpleCapTableWithAllocatedPool" ref="B42:I52" totalsRowCount="1" headerRowDxfId="193" dataDxfId="192">
  <autoFilter ref="B42:I51" xr:uid="{CDB0D0C5-4966-43CD-A1E8-37B5D1E3E8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0405B1D-A44A-4E5E-B62F-A02106BFF3D7}" name="Holder" totalsRowLabel="Total" dataDxfId="191"/>
    <tableColumn id="2" xr3:uid="{B497414D-ACF9-4662-9A63-8077DEDE6603}" name="Common Stock" totalsRowFunction="sum" dataDxfId="190" totalsRowDxfId="189" dataCellStyle="Comma"/>
    <tableColumn id="3" xr3:uid="{BE06F776-6C3D-48D3-800B-7E1BE32667EB}" name="Common Stock (Plan)" totalsRowFunction="sum" dataDxfId="188" totalsRowDxfId="187" dataCellStyle="Comma"/>
    <tableColumn id="4" xr3:uid="{6826029C-8FFC-4775-BBE3-E784CCFCA989}" name="Options (Plan)" totalsRowFunction="sum" dataDxfId="186" totalsRowDxfId="185" dataCellStyle="Comma"/>
    <tableColumn id="5" xr3:uid="{D348ADE0-5173-4B72-9308-14E52915B4E2}" name="Total Stock (Outstanding)" totalsRowFunction="sum" dataDxfId="184" totalsRowDxfId="183" dataCellStyle="Comma">
      <calculatedColumnFormula>SUM(SimpleCapTableWithAllocatedPool[[#This Row],[Common Stock]:[Common Stock (Plan)]])</calculatedColumnFormula>
    </tableColumn>
    <tableColumn id="6" xr3:uid="{CDBFEDF6-55ED-4916-A8E7-5B931CB1B5D0}" name="Total Stock (Fully Diluted)" totalsRowFunction="sum" dataDxfId="182" totalsRowDxfId="181" dataCellStyle="Comma">
      <calculatedColumnFormula>SUM(SimpleCapTableWithAllocatedPool[[#This Row],[Common Stock]:[Options (Plan)]])</calculatedColumnFormula>
    </tableColumn>
    <tableColumn id="7" xr3:uid="{483D1CC2-320C-45FB-90E1-5D90365C92DD}" name="% Outstanding" totalsRowFunction="sum" dataDxfId="180" totalsRowDxfId="179" dataCellStyle="Percent">
      <calculatedColumnFormula>SimpleCapTableWithAllocatedPool[[#This Row],[Total Stock (Outstanding)]]/SimpleCapTableWithAllocatedPool[[#Totals],[Total Stock (Outstanding)]]</calculatedColumnFormula>
    </tableColumn>
    <tableColumn id="8" xr3:uid="{393B188A-7FAA-46FF-B683-4713899F7E62}" name="% Fully Diluted" totalsRowFunction="sum" dataDxfId="178" totalsRowDxfId="177" dataCellStyle="Percent">
      <calculatedColumnFormula>SimpleCapTableWithAllocatedPool[[#This Row],[Total Stock (Fully Diluted)]]/SimpleCapTableWithAllocatedPool[[#Totals],[Total Stock (Fully Diluted)]]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77C877-10D9-44BD-86B3-560FE946DE0A}" name="SimpleCapTableWithUnallocatedPool" displayName="SimpleCapTableWithUnallocatedPool" ref="B25:I35" totalsRowCount="1" headerRowDxfId="176" dataDxfId="175">
  <autoFilter ref="B25:I34" xr:uid="{1377C877-10D9-44BD-86B3-560FE946DE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E1CDFAB-85FB-46DD-9B39-C1C8DFD21A8F}" name="Holder" totalsRowLabel="Total" dataDxfId="174"/>
    <tableColumn id="2" xr3:uid="{A475D52D-992B-46EC-BF88-37A6C8876BDB}" name="Common Stock" totalsRowFunction="sum" dataDxfId="173" totalsRowDxfId="172" dataCellStyle="Comma"/>
    <tableColumn id="3" xr3:uid="{744FDF63-F853-4D1C-8431-DC1BE310744B}" name="Common Stock (Plan)" totalsRowFunction="sum" dataDxfId="171" totalsRowDxfId="170" dataCellStyle="Comma"/>
    <tableColumn id="4" xr3:uid="{F724F2B9-9945-44B8-904C-FBFB1ACA4759}" name="Options (Plan)" totalsRowFunction="sum" dataDxfId="169" totalsRowDxfId="168" dataCellStyle="Comma"/>
    <tableColumn id="5" xr3:uid="{8C353513-5E04-49B2-BE3A-4FA5A47A67CC}" name="Total Stock (Outstanding)" totalsRowFunction="sum" dataDxfId="167" totalsRowDxfId="166" dataCellStyle="Comma">
      <calculatedColumnFormula>SUM(SimpleCapTableWithUnallocatedPool[[#This Row],[Common Stock]:[Common Stock (Plan)]])</calculatedColumnFormula>
    </tableColumn>
    <tableColumn id="6" xr3:uid="{0CFC60E3-A8EA-495D-8D73-B336A3801295}" name="Total Stock (Fully Diluted)" totalsRowFunction="sum" dataDxfId="165" totalsRowDxfId="164" dataCellStyle="Comma">
      <calculatedColumnFormula>SUM(SimpleCapTableWithUnallocatedPool[[#This Row],[Common Stock]:[Options (Plan)]])</calculatedColumnFormula>
    </tableColumn>
    <tableColumn id="7" xr3:uid="{E3A79A0F-94C9-42FC-81BA-3E3749AD458C}" name="% Outstanding" totalsRowFunction="sum" dataDxfId="163" totalsRowDxfId="162" dataCellStyle="Percent">
      <calculatedColumnFormula>SimpleCapTableWithUnallocatedPool[[#This Row],[Total Stock (Outstanding)]]/SimpleCapTableWithUnallocatedPool[[#Totals],[Total Stock (Outstanding)]]</calculatedColumnFormula>
    </tableColumn>
    <tableColumn id="8" xr3:uid="{D36B4546-6E79-4360-B9B3-44032A412164}" name="% Fully Diluted" totalsRowFunction="sum" dataDxfId="161" totalsRowDxfId="160" dataCellStyle="Percent">
      <calculatedColumnFormula>SimpleCapTableWithUnallocatedPool[[#This Row],[Total Stock (Fully Diluted)]]/SimpleCapTableWithUnallocatedPool[[#Totals],[Total Stock (Fully Diluted)]]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E47BE9-2717-C744-A32F-B1A3DC0317F4}" name="PostMoneySAFEWithValuationCap" displayName="PostMoneySAFEWithValuationCap" ref="B65:I67" totalsRowCount="1" headerRowDxfId="159" dataDxfId="158">
  <autoFilter ref="B65:I66" xr:uid="{16E47BE9-2717-C744-A32F-B1A3DC0317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3D3094C-51E8-A64D-93B3-39814D5460E7}" name="SAFE holder" totalsRowLabel="Total" dataDxfId="157" totalsRowDxfId="156"/>
    <tableColumn id="2" xr3:uid="{B530008B-A372-A044-85BC-EDF9902004E4}" name="Amount" totalsRowFunction="sum" dataDxfId="155" totalsRowDxfId="154" dataCellStyle="Currency"/>
    <tableColumn id="3" xr3:uid="{C03F1D9B-DF4C-954B-BA92-AD40F08845B1}" name="Post-money Cap" dataDxfId="153" totalsRowDxfId="152" dataCellStyle="Currency"/>
    <tableColumn id="4" xr3:uid="{A91AD773-8719-BF48-853B-5B69740279C3}" name="Company Capitalization" dataDxfId="151" totalsRowDxfId="150">
      <calculatedColumnFormula>SUM(SimpleCapTableWithUnallocatedPool[[#Totals],[Total Stock (Fully Diluted)]],PostMoneySAFEWithValuationCap[[#This Row],[Number of Shares]])</calculatedColumnFormula>
    </tableColumn>
    <tableColumn id="5" xr3:uid="{6E0AB42C-B9BC-254C-9929-DBA74C1556F2}" name="Conversion Price" dataDxfId="149" totalsRowDxfId="148" dataCellStyle="Currency">
      <calculatedColumnFormula>ROUND(IF(PostMoneySAFEWithValuationCap[[#This Row],[Post-money Cap]]&lt;$C$82,PostMoneySAFEWithValuationCap[[#This Row],[Post-money Cap]]/PostMoneySAFEWithValuationCap[[#This Row],[Company Capitalization]],$C$82/PostMoneySAFEWithValuationCap[[#This Row],[Company Capitalization]]),4)</calculatedColumnFormula>
    </tableColumn>
    <tableColumn id="6" xr3:uid="{13E82D93-CCFC-C94A-B0D8-E4DC033E18C9}" name="Number of Shares" totalsRowFunction="sum" dataDxfId="147" totalsRowDxfId="146" dataCellStyle="Comma">
      <calculatedColumnFormula>ROUNDDOWN(PostMoneySAFEWithValuationCap[[#This Row],[Amount]]/PostMoneySAFEWithValuationCap[[#This Row],[Conversion Price]],0)</calculatedColumnFormula>
    </tableColumn>
    <tableColumn id="7" xr3:uid="{D9BF72B7-C0B2-C84E-A1AC-B104AB926B50}" name="FD % Pre-financing" totalsRowFunction="sum" dataDxfId="145" totalsRowDxfId="144" dataCellStyle="Percent">
      <calculatedColumnFormula>PostMoneySAFEWithValuationCap[[#This Row],[Number of Shares]]/PostMoneySAFEWithValuationCap[[#This Row],[Company Capitalization]]</calculatedColumnFormula>
    </tableColumn>
    <tableColumn id="8" xr3:uid="{09743AA8-69AD-3A43-843D-C08DAE76B870}" name="FD % Post-financing" totalsRowFunction="sum" dataDxfId="143" totalsRowDxfId="142" dataCellStyle="Percent">
      <calculatedColumnFormula>PostMoneySAFEWithValuationCap[[#This Row],[Number of Shares]]/$C$92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863C6F-66D6-D340-979D-A575552AE006}" name="SAFEWithDiscount" displayName="SAFEWithDiscount" ref="B75:I77" totalsRowCount="1" headerRowDxfId="141" dataDxfId="140">
  <autoFilter ref="B75:I76" xr:uid="{38863C6F-66D6-D340-979D-A575552AE0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4725F65-6B93-D648-90CC-AC6AB26DCD9D}" name="SAFE holder" totalsRowLabel="Total" dataDxfId="139" totalsRowDxfId="138"/>
    <tableColumn id="2" xr3:uid="{C6D98C1D-D131-4040-8469-5D18787403C3}" name="Amount" totalsRowFunction="sum" dataDxfId="137" totalsRowDxfId="136" dataCellStyle="Currency"/>
    <tableColumn id="3" xr3:uid="{5FBEDCBE-F918-584E-9310-7EF30C1991B6}" name="Discount" dataDxfId="135" totalsRowDxfId="134" dataCellStyle="Percent"/>
    <tableColumn id="4" xr3:uid="{D7D40752-4100-EC42-BBBC-6ECD864688F5}" name="Series A New Money Price" dataDxfId="133" totalsRowDxfId="132" dataCellStyle="Currency">
      <calculatedColumnFormula>C90</calculatedColumnFormula>
    </tableColumn>
    <tableColumn id="5" xr3:uid="{3FD36925-2848-594F-A3F8-2413501C2401}" name="Conversion Price" dataDxfId="131" totalsRowDxfId="130" dataCellStyle="Currency">
      <calculatedColumnFormula>ROUND(SAFEWithDiscount[[#This Row],[Series A New Money Price]]*(1-SAFEWithDiscount[[#This Row],[Discount]]),4)</calculatedColumnFormula>
    </tableColumn>
    <tableColumn id="6" xr3:uid="{47F34A64-7D45-454A-A938-A4C27C80DFB6}" name="Number of Shares" totalsRowFunction="sum" dataDxfId="129" totalsRowDxfId="128" dataCellStyle="Comma">
      <calculatedColumnFormula>ROUNDDOWN(SAFEWithDiscount[[#This Row],[Amount]]/SAFEWithDiscount[[#This Row],[Conversion Price]],0)</calculatedColumnFormula>
    </tableColumn>
    <tableColumn id="7" xr3:uid="{CEFE7145-946E-4240-A847-AF942C1075CE}" name="FD % Pre-financing" totalsRowFunction="sum" dataDxfId="127" totalsRowDxfId="126" dataCellStyle="Percent">
      <calculatedColumnFormula>SAFEWithDiscount[[#This Row],[Number of Shares]]/SUM(SimpleCapTableWithAllocatedPool[[#Totals],[Total Stock (Fully Diluted)]],SAFEWithDiscount[[#This Row],[Number of Shares]])</calculatedColumnFormula>
    </tableColumn>
    <tableColumn id="8" xr3:uid="{02FA2189-B747-7D4F-A5FD-19875109577F}" name="FD % Post-financing" totalsRowFunction="sum" dataDxfId="125" totalsRowDxfId="124" dataCellStyle="Percent">
      <calculatedColumnFormula>SAFEWithDiscount[[#This Row],[Number of Shares]]/$I$92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347FC9-44D1-8C48-9953-DB2DD624EDDC}" name="ConvertibleNoteWithPreMoneyValuationCap" displayName="ConvertibleNoteWithPreMoneyValuationCap" ref="B70:M72" totalsRowCount="1" headerRowDxfId="123" dataDxfId="122">
  <autoFilter ref="B70:M71" xr:uid="{F5347FC9-44D1-8C48-9953-DB2DD624ED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3A10287-9729-234C-831D-974BAF96D498}" name="Note holder" totalsRowLabel="Total" dataDxfId="121" totalsRowDxfId="120"/>
    <tableColumn id="2" xr3:uid="{519790E0-6BD1-3F45-93D4-5106669AAA2E}" name="Original Principal" totalsRowFunction="sum" dataDxfId="119" totalsRowDxfId="118" dataCellStyle="Currency"/>
    <tableColumn id="3" xr3:uid="{2E9345ED-7D0C-1340-9542-5CD8D63A4663}" name="Issuance Date" dataDxfId="117" totalsRowDxfId="116" dataCellStyle="Percent"/>
    <tableColumn id="4" xr3:uid="{D303D34F-39B6-0A48-BFE5-7431F25DDB2A}" name="Interest Rate" dataDxfId="115" totalsRowDxfId="114" dataCellStyle="Percent"/>
    <tableColumn id="5" xr3:uid="{607D32F4-65E3-9740-8793-F2EED9C4FCCA}" name="Total Interest" totalsRowFunction="sum" dataDxfId="113" totalsRowDxfId="112" dataCellStyle="Currency">
      <calculatedColumnFormula>ROUND(ConvertibleNoteWithPreMoneyValuationCap[[#This Row],[Interest Rate]]/365*($C$85-ConvertibleNoteWithPreMoneyValuationCap[[#This Row],[Issuance Date]])*ConvertibleNoteWithPreMoneyValuationCap[[#This Row],[Original Principal]],2)</calculatedColumnFormula>
    </tableColumn>
    <tableColumn id="6" xr3:uid="{A4BD4607-2E50-BB4A-82C3-F0663C4A85DD}" name="Principal + Interest" totalsRowFunction="sum" dataDxfId="111" totalsRowDxfId="110" dataCellStyle="Currency">
      <calculatedColumnFormula>SUM(ConvertibleNoteWithPreMoneyValuationCap[[#This Row],[Original Principal]],ConvertibleNoteWithPreMoneyValuationCap[[#This Row],[Total Interest]])</calculatedColumnFormula>
    </tableColumn>
    <tableColumn id="7" xr3:uid="{46452B8F-6733-D345-8C9D-E9CA5125D976}" name="Pre-money Cap" dataDxfId="109" totalsRowDxfId="108" dataCellStyle="Currency"/>
    <tableColumn id="8" xr3:uid="{F25D8F57-4EAC-7045-A95F-0E229CD53DF4}" name="Capitalization" dataDxfId="107" totalsRowDxfId="106" dataCellStyle="Comma">
      <calculatedColumnFormula>SimpleCapTableWithAllocatedPool[[#Totals],[Total Stock (Fully Diluted)]]</calculatedColumnFormula>
    </tableColumn>
    <tableColumn id="9" xr3:uid="{E02651D8-7E5D-E24D-A76D-FEB7E24F2FE6}" name="Conversion Price" dataDxfId="105" dataCellStyle="Currency">
      <calculatedColumnFormula>ROUND(IF(ConvertibleNoteWithPreMoneyValuationCap[[#This Row],[Pre-money Cap]]&lt;$C$82,ConvertibleNoteWithPreMoneyValuationCap[[#This Row],[Pre-money Cap]]/ConvertibleNoteWithPreMoneyValuationCap[[#This Row],[Capitalization]],$C$82/ConvertibleNoteWithPreMoneyValuationCap[[#This Row],[Capitalization]]),4)</calculatedColumnFormula>
    </tableColumn>
    <tableColumn id="10" xr3:uid="{10AB4843-7B7F-5A40-9AAF-29C7A24FEBBD}" name="Number of Shares" totalsRowFunction="sum" dataDxfId="104" totalsRowDxfId="103" dataCellStyle="Comma">
      <calculatedColumnFormula>ROUNDDOWN(ConvertibleNoteWithPreMoneyValuationCap[[#This Row],[Principal + Interest]]/ConvertibleNoteWithPreMoneyValuationCap[[#This Row],[Conversion Price]],0)</calculatedColumnFormula>
    </tableColumn>
    <tableColumn id="11" xr3:uid="{733B30DA-8625-2C42-8D0C-CC356A6A2582}" name="FD % Pre-financing" totalsRowFunction="sum" dataDxfId="102" totalsRowDxfId="101" dataCellStyle="Percent">
      <calculatedColumnFormula>ConvertibleNoteWithPreMoneyValuationCap[[#This Row],[Number of Shares]]/SUM(SimpleCapTableWithAllocatedPool[[#Totals],[Total Stock (Fully Diluted)]],ConvertibleNoteWithPreMoneyValuationCap[[#This Row],[Number of Shares]])</calculatedColumnFormula>
    </tableColumn>
    <tableColumn id="12" xr3:uid="{53506428-D1AF-CA47-BE28-B78785D6F76D}" name="FD % Post-financing" totalsRowFunction="sum" dataDxfId="100" totalsRowDxfId="99" dataCellStyle="Percent">
      <calculatedColumnFormula>ConvertibleNoteWithPreMoneyValuationCap[[#This Row],[Number of Shares]]/$F$92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FB4B3B-8017-6D47-84C5-D8CC135F028F}" name="CapTableParticipationRightsAndVoting" displayName="CapTableParticipationRightsAndVoting" ref="B106:O119" totalsRowCount="1" headerRowDxfId="98" dataDxfId="97">
  <autoFilter ref="B106:O118" xr:uid="{4AFB4B3B-8017-6D47-84C5-D8CC135F02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9FA4C23-29B3-F249-A3AF-5B60713DF887}" name="Holder" totalsRowLabel="Total" dataDxfId="96"/>
    <tableColumn id="2" xr3:uid="{FC8DAFD5-55F8-2546-8FF5-D300A96625B0}" name="Common Stock" totalsRowFunction="sum" dataDxfId="95" totalsRowDxfId="94" dataCellStyle="Comma"/>
    <tableColumn id="3" xr3:uid="{614C7651-0344-0746-A72F-823A54373594}" name="Common Stock (Plan)" totalsRowFunction="sum" dataDxfId="93" totalsRowDxfId="92" dataCellStyle="Comma"/>
    <tableColumn id="4" xr3:uid="{6CFBC471-4E8A-BF45-BAA9-399204004D64}" name="Options (Plan)" totalsRowFunction="sum" dataDxfId="91" totalsRowDxfId="90" dataCellStyle="Comma"/>
    <tableColumn id="9" xr3:uid="{5DA3BE35-8721-2F4F-9D7A-7F8514D407DA}" name="Series A-1 Preferred Stock (New Money)" totalsRowFunction="sum" dataDxfId="89" totalsRowDxfId="88" dataCellStyle="Comma"/>
    <tableColumn id="10" xr3:uid="{A1D3F5B0-B81A-6243-9F1D-76B3B886A68A}" name="Series A-2 Preferred Stock (SAFE Conversion)" totalsRowFunction="sum" dataDxfId="87" totalsRowDxfId="86" dataCellStyle="Comma"/>
    <tableColumn id="5" xr3:uid="{4B9A3050-0FD5-B644-BEF1-9A42EE05C277}" name="Total Stock (Outstanding)" totalsRowFunction="sum" dataDxfId="85" totalsRowDxfId="84" dataCellStyle="Comma">
      <calculatedColumnFormula>SUM(CapTableParticipationRightsAndVoting[[#This Row],[Common Stock]:[Common Stock (Plan)]],CapTableParticipationRightsAndVoting[[#This Row],[Series A-1 Preferred Stock (New Money)]:[Series A-2 Preferred Stock (SAFE Conversion)]])</calculatedColumnFormula>
    </tableColumn>
    <tableColumn id="6" xr3:uid="{31E8311C-6D96-3449-9A6B-593A4B11237F}" name="Total Stock (Fully Diluted)" totalsRowFunction="sum" dataDxfId="83" totalsRowDxfId="82" dataCellStyle="Comma">
      <calculatedColumnFormula>SUM(CapTableParticipationRightsAndVoting[[#This Row],[Common Stock]:[Series A-2 Preferred Stock (SAFE Conversion)]])</calculatedColumnFormula>
    </tableColumn>
    <tableColumn id="7" xr3:uid="{B5642D65-7811-4A4F-9850-659609885180}" name="% Outstanding" totalsRowFunction="sum" dataDxfId="81" totalsRowDxfId="80" dataCellStyle="Percent">
      <calculatedColumnFormula>CapTableParticipationRightsAndVoting[[#This Row],[Total Stock (Outstanding)]]/CapTableParticipationRightsAndVoting[[#Totals],[Total Stock (Outstanding)]]</calculatedColumnFormula>
    </tableColumn>
    <tableColumn id="8" xr3:uid="{E71EDFC5-467E-FE4C-95B1-EC11501CE5A8}" name="% Fully Diluted" totalsRowFunction="sum" dataDxfId="79" totalsRowDxfId="78" dataCellStyle="Percent">
      <calculatedColumnFormula>CapTableParticipationRightsAndVoting[[#This Row],[Total Stock (Fully Diluted)]]/CapTableParticipationRightsAndVoting[[#Totals],[Total Stock (Fully Diluted)]]</calculatedColumnFormula>
    </tableColumn>
    <tableColumn id="11" xr3:uid="{0520A337-0E8E-5C47-A95E-F20D306DE76F}" name="Major Investor?" dataDxfId="77">
      <calculatedColumnFormula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calculatedColumnFormula>
    </tableColumn>
    <tableColumn id="13" xr3:uid="{D77BF169-1025-A446-8E70-B25610022C8D}" name="Total Preferred Stock" totalsRowFunction="sum" dataDxfId="76" totalsRowDxfId="75" dataCellStyle="Comma">
      <calculatedColumnFormula>SUM(CapTableParticipationRightsAndVoting[[#This Row],[Series A-1 Preferred Stock (New Money)]:[Series A-2 Preferred Stock (SAFE Conversion)]])</calculatedColumnFormula>
    </tableColumn>
    <tableColumn id="14" xr3:uid="{EEDAE490-B627-8740-A6E8-50988312E9D5}" name="Total Shares Held by Major Investors" totalsRowFunction="sum" dataDxfId="74" totalsRowDxfId="73" dataCellStyle="Comma">
      <calculatedColumnFormula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calculatedColumnFormula>
    </tableColumn>
    <tableColumn id="12" xr3:uid="{419A8D55-C48F-1144-AEB9-EB1D7F91D24E}" name="Voting (Y/N)" dataDxfId="72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DA85B8-0FAB-674A-8359-BE2CB89ECD2B}" name="SeriesAInvestorSummary" displayName="SeriesAInvestorSummary" ref="K81:Q86" totalsRowCount="1" headerRowDxfId="71" dataDxfId="70">
  <autoFilter ref="K81:Q85" xr:uid="{EDDA85B8-0FAB-674A-8359-BE2CB89ECD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56E5F31-6928-6E42-BC93-D675782BE1E3}" name="Series A Investors" totalsRowLabel="Total" dataDxfId="69" totalsRowDxfId="68"/>
    <tableColumn id="2" xr3:uid="{7F9E320B-5163-5E43-BC2C-E9E33C417744}" name="Target Investment" totalsRowFunction="sum" dataDxfId="67" totalsRowDxfId="66" dataCellStyle="Currency"/>
    <tableColumn id="7" xr3:uid="{E4183FC2-3B0B-F944-AD7B-247EBAA3F822}" name="Existing Preferred Shares" totalsRowFunction="sum" dataDxfId="65" totalsRowDxfId="64" dataCellStyle="Comma" totalsRowCellStyle="Comma"/>
    <tableColumn id="3" xr3:uid="{F202F334-291C-A146-BB9F-DCC798D6F9C8}" name="New Money Shares" totalsRowFunction="sum" dataDxfId="63" totalsRowDxfId="62" dataCellStyle="Comma">
      <calculatedColumnFormula>ROUNDDOWN(SeriesAInvestorSummary[[#This Row],[Target Investment]]/$C$90,0)</calculatedColumnFormula>
    </tableColumn>
    <tableColumn id="4" xr3:uid="{1E5C9F67-7B76-AC4A-A329-14F49B6D6114}" name="Actual Investment" totalsRowFunction="sum" dataDxfId="61" totalsRowDxfId="60" dataCellStyle="Currency">
      <calculatedColumnFormula>ROUND(SeriesAInvestorSummary[[#This Row],[New Money Shares]]*$C$90,2)</calculatedColumnFormula>
    </tableColumn>
    <tableColumn id="5" xr3:uid="{69D2489F-28A8-B843-837B-AC5C146AE0B0}" name="% FD (post-money)" totalsRowFunction="sum" dataDxfId="59" totalsRowDxfId="58" dataCellStyle="Percent" totalsRowCellStyle="Percent">
      <calculatedColumnFormula>SUM(SeriesAInvestorSummary[[#This Row],[Existing Preferred Shares]:[New Money Shares]])/$C$92</calculatedColumnFormula>
    </tableColumn>
    <tableColumn id="6" xr3:uid="{40476865-CF18-774B-B825-6EA9E6CB0075}" name="% of Preferred Stock" totalsRowFunction="sum" dataDxfId="57" totalsRowDxfId="56" dataCellStyle="Percent" totalsRowCellStyle="Percent">
      <calculatedColumnFormula>SUM(SeriesAInvestorSummary[[#This Row],[Existing Preferred Shares]:[New Money Shares]])/SUM(PostMoneySAFEWithValuationCap[[#Totals],[Number of Shares]],SeriesAInvestorSummary[[#Totals],[New Money Shares]])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BEF985-1F82-5647-A8CF-E8CBDC44197B}" name="ParticipationRightsTable" displayName="ParticipationRightsTable" ref="B129:D132" totalsRowCount="1" headerRowDxfId="55" dataDxfId="54">
  <autoFilter ref="B129:D131" xr:uid="{58BEF985-1F82-5647-A8CF-E8CBDC44197B}">
    <filterColumn colId="0" hiddenButton="1"/>
    <filterColumn colId="1" hiddenButton="1"/>
    <filterColumn colId="2" hiddenButton="1"/>
  </autoFilter>
  <tableColumns count="3">
    <tableColumn id="1" xr3:uid="{60798DD3-CA2E-EA41-9D59-ADF2C7BC72CE}" name="Participation Rights Holder" totalsRowLabel="Total" dataDxfId="53"/>
    <tableColumn id="2" xr3:uid="{3C58F2ED-2E30-4A44-9417-F415A7C90209}" name="Pro Rata %" totalsRowFunction="sum" dataDxfId="52" totalsRowDxfId="51" dataCellStyle="Percent" totalsRowCellStyle="Percent">
      <calculatedColumnFormula>H116/(CapTableParticipationRightsAndVoting[[#Totals],[Total Stock (Fully Diluted)]]-$I$115)</calculatedColumnFormula>
    </tableColumn>
    <tableColumn id="3" xr3:uid="{EB0E9B17-AE34-544A-996E-5494D4248F46}" name="Amount of Series B" totalsRowFunction="sum" dataDxfId="50" totalsRowDxfId="49">
      <calculatedColumnFormula>ParticipationRightsTable[[#This Row],[Pro Rata %]]*$C$126</calculatedColumnFormula>
    </tableColumn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9DAB7E-2207-4547-9B96-1952EBAE415A}" name="SeriesBCapTable" displayName="SeriesBCapTable" ref="B160:N174" totalsRowCount="1" headerRowDxfId="48" dataDxfId="46" totalsRowDxfId="44" headerRowBorderDxfId="47" tableBorderDxfId="45" totalsRowBorderDxfId="43" dataCellStyle="Comma">
  <autoFilter ref="B160:N173" xr:uid="{EB9DAB7E-2207-4547-9B96-1952EBAE41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7713D07-4237-4CDE-8A6D-55969F2DDB77}" name="Holder" totalsRowLabel="Total" dataDxfId="42" totalsRowDxfId="41"/>
    <tableColumn id="2" xr3:uid="{E7A6ED4E-8AE5-4E10-B768-39EF99DC056D}" name="Common Stock" totalsRowFunction="sum" dataDxfId="40" totalsRowDxfId="39" dataCellStyle="Comma"/>
    <tableColumn id="3" xr3:uid="{5B379AC2-E08E-4108-BCE6-28F021F93784}" name="Common Stock (Plan)" totalsRowFunction="sum" dataDxfId="38" totalsRowDxfId="37" dataCellStyle="Comma"/>
    <tableColumn id="4" xr3:uid="{E9954E78-B07F-4A58-8A4B-FCF1FAE24B79}" name="Options (Plan)" totalsRowFunction="sum" dataDxfId="36" totalsRowDxfId="35" dataCellStyle="Comma"/>
    <tableColumn id="5" xr3:uid="{6E712F97-A757-4B1C-B4AE-7D171641D7A7}" name="Series A-1 Preferred Stock" totalsRowFunction="sum" dataDxfId="34" totalsRowDxfId="33" dataCellStyle="Comma"/>
    <tableColumn id="11" xr3:uid="{19CA2A08-F690-4137-BE10-DE86573E3055}" name="Series A-1 Common Equivalents" totalsRowFunction="sum" dataDxfId="32" totalsRowDxfId="31" dataCellStyle="Comma">
      <calculatedColumnFormula>ROUNDDOWN(SeriesBCapTable[[#This Row],[Series A-1 Preferred Stock]]*$K$141/$K$146,0)</calculatedColumnFormula>
    </tableColumn>
    <tableColumn id="6" xr3:uid="{149DFB4E-5747-42AE-BDDF-F51BEDA1D448}" name="Series A-2 Preferred Stock " totalsRowFunction="sum" dataDxfId="30" totalsRowDxfId="29" dataCellStyle="Comma"/>
    <tableColumn id="12" xr3:uid="{385A315D-E10E-40AC-909D-AB0384026C31}" name="Series A-2 Common Equivalents" totalsRowFunction="sum" dataDxfId="28" totalsRowDxfId="27" dataCellStyle="Comma">
      <calculatedColumnFormula>ROUNDDOWN(SeriesBCapTable[[#This Row],[Series A-2 Preferred Stock ]]*$K$150/$K$155,0)</calculatedColumnFormula>
    </tableColumn>
    <tableColumn id="13" xr3:uid="{C40B71A6-13C1-46AD-BDBA-7959709EA75E}" name="Series B Preferred Stock (New Money)" totalsRowFunction="sum" dataDxfId="26" totalsRowDxfId="25" dataCellStyle="Comma"/>
    <tableColumn id="7" xr3:uid="{8E152FF2-B940-4296-A861-E131891D0464}" name="Total Stock (Outstanding)" totalsRowFunction="sum" dataDxfId="24" totalsRowDxfId="23" dataCellStyle="Comma">
      <calculatedColumnFormula>SUM(SeriesBCapTable[[#This Row],[Common Stock]:[Common Stock (Plan)]],SeriesBCapTable[[#This Row],[Series A-1 Common Equivalents]],SeriesBCapTable[[#This Row],[Series A-2 Common Equivalents]],SeriesBCapTable[[#This Row],[Series B Preferred Stock (New Money)]])</calculatedColumnFormula>
    </tableColumn>
    <tableColumn id="8" xr3:uid="{D3A5372B-1FAD-4D8C-BB4F-42E2F1C64C6D}" name="Total Stock (Fully Diluted)" totalsRowFunction="sum" dataDxfId="22" totalsRowDxfId="21" dataCellStyle="Comma">
      <calculatedColumnFormula>SUM(SeriesBCapTable[[#This Row],[Common Stock]:[Options (Plan)]],SeriesBCapTable[[#This Row],[Series A-1 Common Equivalents]],SeriesBCapTable[[#This Row],[Series A-2 Common Equivalents]],SeriesBCapTable[[#This Row],[Series B Preferred Stock (New Money)]])</calculatedColumnFormula>
    </tableColumn>
    <tableColumn id="9" xr3:uid="{DC1C9F16-9D97-4795-8926-0E09DCEBC0AF}" name="% Outstanding" totalsRowFunction="sum" dataDxfId="20" totalsRowDxfId="19" dataCellStyle="Percent" totalsRowCellStyle="Percent">
      <calculatedColumnFormula>SeriesBCapTable[[#This Row],[Total Stock (Outstanding)]]/SeriesBCapTable[[#Totals],[Total Stock (Outstanding)]]</calculatedColumnFormula>
    </tableColumn>
    <tableColumn id="10" xr3:uid="{E0EACC3C-7823-4F0E-AEF5-6831486C495C}" name="% Fully Diluted" totalsRowFunction="sum" dataDxfId="18" totalsRowDxfId="17" dataCellStyle="Percent" totalsRowCellStyle="Percent">
      <calculatedColumnFormula>SeriesBCapTable[[#This Row],[Total Stock (Fully Diluted)]]/SeriesBCapTable[[#Totals],[Total Stock (Fully Diluted)]]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83C5F6F-6377-4CB1-B2A4-1DF972FAF68B}" name="SimpleCapTable" displayName="SimpleCapTable" ref="B14:D20" totalsRowCount="1" headerRowDxfId="16" dataDxfId="14" totalsRowDxfId="12" headerRowBorderDxfId="15" tableBorderDxfId="13" totalsRowBorderDxfId="11">
  <autoFilter ref="B14:D19" xr:uid="{083C5F6F-6377-4CB1-B2A4-1DF972FAF68B}">
    <filterColumn colId="0" hiddenButton="1"/>
    <filterColumn colId="1" hiddenButton="1"/>
    <filterColumn colId="2" hiddenButton="1"/>
  </autoFilter>
  <tableColumns count="3">
    <tableColumn id="1" xr3:uid="{AADCB736-AD16-4B55-B292-EF0F1F6A59F3}" name="Holder" totalsRowLabel="Total" dataDxfId="10" totalsRowDxfId="9"/>
    <tableColumn id="2" xr3:uid="{4620088A-AF9B-4D46-8E84-E7921D768617}" name="Common Stock" totalsRowFunction="sum" dataDxfId="8" totalsRowDxfId="7" dataCellStyle="Comma"/>
    <tableColumn id="3" xr3:uid="{7E85EEAB-7D32-4F5F-8BCF-42D327F399C2}" name="% Outstanding" totalsRowFunction="sum" dataDxfId="6" totalsRowDxfId="5" dataCellStyle="Percent" totalsRowCellStyle="Percent">
      <calculatedColumnFormula>SimpleCapTable[[#This Row],[Common Stock]]/SimpleCapTable[[#Totals],[Common Stock]]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del-startup.com/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9334-A120-460B-9A86-7825C34219F1}">
  <dimension ref="B1:Q189"/>
  <sheetViews>
    <sheetView tabSelected="1" zoomScale="80" zoomScaleNormal="80" workbookViewId="0">
      <selection activeCell="D5" sqref="D5"/>
    </sheetView>
  </sheetViews>
  <sheetFormatPr defaultColWidth="9" defaultRowHeight="14.5" x14ac:dyDescent="0.35"/>
  <cols>
    <col min="1" max="1" width="3.54296875" style="1" customWidth="1"/>
    <col min="2" max="2" width="35.453125" style="1" customWidth="1"/>
    <col min="3" max="3" width="16" style="1" customWidth="1"/>
    <col min="4" max="4" width="21.6328125" style="1" customWidth="1"/>
    <col min="5" max="5" width="22.6328125" style="1" customWidth="1"/>
    <col min="6" max="6" width="16.7265625" style="1" customWidth="1"/>
    <col min="7" max="7" width="16" style="1" customWidth="1"/>
    <col min="8" max="8" width="26.26953125" style="1" customWidth="1"/>
    <col min="9" max="9" width="18.1796875" style="1" bestFit="1" customWidth="1"/>
    <col min="10" max="10" width="15.36328125" style="1" customWidth="1"/>
    <col min="11" max="11" width="23.08984375" style="1" customWidth="1"/>
    <col min="12" max="12" width="16.81640625" style="1" customWidth="1"/>
    <col min="13" max="13" width="24.453125" style="1" bestFit="1" customWidth="1"/>
    <col min="14" max="14" width="17" style="1" bestFit="1" customWidth="1"/>
    <col min="15" max="15" width="17" style="1" customWidth="1"/>
    <col min="16" max="16" width="16.81640625" style="1" bestFit="1" customWidth="1"/>
    <col min="17" max="17" width="18.7265625" style="1" bestFit="1" customWidth="1"/>
    <col min="18" max="16384" width="9" style="1"/>
  </cols>
  <sheetData>
    <row r="1" spans="2:4" s="140" customFormat="1" ht="9" customHeight="1" x14ac:dyDescent="0.35"/>
    <row r="2" spans="2:4" s="140" customFormat="1" ht="31" x14ac:dyDescent="0.7">
      <c r="B2" s="144" t="s">
        <v>133</v>
      </c>
    </row>
    <row r="3" spans="2:4" s="140" customFormat="1" ht="5" customHeight="1" x14ac:dyDescent="0.35"/>
    <row r="4" spans="2:4" s="140" customFormat="1" ht="15.5" x14ac:dyDescent="0.35">
      <c r="B4" s="141" t="s">
        <v>128</v>
      </c>
      <c r="D4" s="143" t="s">
        <v>136</v>
      </c>
    </row>
    <row r="5" spans="2:4" s="140" customFormat="1" ht="9" customHeight="1" x14ac:dyDescent="0.35"/>
    <row r="6" spans="2:4" s="140" customFormat="1" ht="18.5" x14ac:dyDescent="0.45">
      <c r="B6" s="142" t="s">
        <v>134</v>
      </c>
    </row>
    <row r="7" spans="2:4" s="140" customFormat="1" ht="18.5" x14ac:dyDescent="0.45">
      <c r="B7" s="142"/>
    </row>
    <row r="8" spans="2:4" s="49" customFormat="1" ht="6" customHeight="1" x14ac:dyDescent="0.35"/>
    <row r="10" spans="2:4" ht="20" thickBot="1" x14ac:dyDescent="0.5">
      <c r="B10" s="135" t="s">
        <v>120</v>
      </c>
    </row>
    <row r="11" spans="2:4" ht="15" thickTop="1" x14ac:dyDescent="0.35"/>
    <row r="12" spans="2:4" ht="17.5" thickBot="1" x14ac:dyDescent="0.45">
      <c r="B12" s="136" t="s">
        <v>124</v>
      </c>
    </row>
    <row r="13" spans="2:4" ht="7" customHeight="1" thickTop="1" x14ac:dyDescent="0.35"/>
    <row r="14" spans="2:4" x14ac:dyDescent="0.35">
      <c r="B14" s="97" t="s">
        <v>0</v>
      </c>
      <c r="C14" s="98" t="s">
        <v>2</v>
      </c>
      <c r="D14" s="98" t="s">
        <v>15</v>
      </c>
    </row>
    <row r="15" spans="2:4" x14ac:dyDescent="0.35">
      <c r="B15" s="99" t="s">
        <v>6</v>
      </c>
      <c r="C15" s="96">
        <v>1000000</v>
      </c>
      <c r="D15" s="100">
        <f>SimpleCapTable[[#This Row],[Common Stock]]/SimpleCapTable[[#Totals],[Common Stock]]</f>
        <v>0.33333333333333331</v>
      </c>
    </row>
    <row r="16" spans="2:4" x14ac:dyDescent="0.35">
      <c r="B16" s="99" t="s">
        <v>7</v>
      </c>
      <c r="C16" s="96">
        <v>1000000</v>
      </c>
      <c r="D16" s="100">
        <f>SimpleCapTable[[#This Row],[Common Stock]]/SimpleCapTable[[#Totals],[Common Stock]]</f>
        <v>0.33333333333333331</v>
      </c>
    </row>
    <row r="17" spans="2:9" x14ac:dyDescent="0.35">
      <c r="B17" s="99" t="s">
        <v>8</v>
      </c>
      <c r="C17" s="96">
        <v>500000</v>
      </c>
      <c r="D17" s="100">
        <f>SimpleCapTable[[#This Row],[Common Stock]]/SimpleCapTable[[#Totals],[Common Stock]]</f>
        <v>0.16666666666666666</v>
      </c>
    </row>
    <row r="18" spans="2:9" x14ac:dyDescent="0.35">
      <c r="B18" s="99" t="s">
        <v>9</v>
      </c>
      <c r="C18" s="96">
        <v>250000</v>
      </c>
      <c r="D18" s="100">
        <f>SimpleCapTable[[#This Row],[Common Stock]]/SimpleCapTable[[#Totals],[Common Stock]]</f>
        <v>8.3333333333333329E-2</v>
      </c>
    </row>
    <row r="19" spans="2:9" x14ac:dyDescent="0.35">
      <c r="B19" s="102" t="s">
        <v>10</v>
      </c>
      <c r="C19" s="103">
        <v>250000</v>
      </c>
      <c r="D19" s="104">
        <f>SimpleCapTable[[#This Row],[Common Stock]]/SimpleCapTable[[#Totals],[Common Stock]]</f>
        <v>8.3333333333333329E-2</v>
      </c>
    </row>
    <row r="20" spans="2:9" x14ac:dyDescent="0.35">
      <c r="B20" s="102" t="s">
        <v>14</v>
      </c>
      <c r="C20" s="105">
        <f>SUBTOTAL(109,SimpleCapTable[Common Stock])</f>
        <v>3000000</v>
      </c>
      <c r="D20" s="106">
        <f>SUBTOTAL(109,SimpleCapTable[% Outstanding])</f>
        <v>1</v>
      </c>
    </row>
    <row r="23" spans="2:9" ht="17.5" thickBot="1" x14ac:dyDescent="0.45">
      <c r="B23" s="136" t="s">
        <v>125</v>
      </c>
    </row>
    <row r="24" spans="2:9" ht="6.5" customHeight="1" thickTop="1" x14ac:dyDescent="0.35"/>
    <row r="25" spans="2:9" ht="29" x14ac:dyDescent="0.35">
      <c r="B25" s="5" t="s">
        <v>0</v>
      </c>
      <c r="C25" s="7" t="s">
        <v>2</v>
      </c>
      <c r="D25" s="14" t="s">
        <v>1</v>
      </c>
      <c r="E25" s="14" t="s">
        <v>3</v>
      </c>
      <c r="F25" s="7" t="s">
        <v>4</v>
      </c>
      <c r="G25" s="14" t="s">
        <v>5</v>
      </c>
      <c r="H25" s="7" t="s">
        <v>15</v>
      </c>
      <c r="I25" s="14" t="s">
        <v>16</v>
      </c>
    </row>
    <row r="26" spans="2:9" x14ac:dyDescent="0.35">
      <c r="B26" t="s">
        <v>6</v>
      </c>
      <c r="C26" s="2">
        <v>1000000</v>
      </c>
      <c r="D26" s="2">
        <v>0</v>
      </c>
      <c r="E26" s="2">
        <v>0</v>
      </c>
      <c r="F26" s="15">
        <f>SUM(SimpleCapTableWithUnallocatedPool[[#This Row],[Common Stock]:[Common Stock (Plan)]])</f>
        <v>1000000</v>
      </c>
      <c r="G26" s="15">
        <f>SUM(SimpleCapTableWithUnallocatedPool[[#This Row],[Common Stock]:[Options (Plan)]])</f>
        <v>1000000</v>
      </c>
      <c r="H26" s="16">
        <f>SimpleCapTableWithUnallocatedPool[[#This Row],[Total Stock (Outstanding)]]/SimpleCapTableWithUnallocatedPool[[#Totals],[Total Stock (Outstanding)]]</f>
        <v>0.33333333333333331</v>
      </c>
      <c r="I26" s="16">
        <f>SimpleCapTableWithUnallocatedPool[[#This Row],[Total Stock (Fully Diluted)]]/SimpleCapTableWithUnallocatedPool[[#Totals],[Total Stock (Fully Diluted)]]</f>
        <v>0.30000003000000303</v>
      </c>
    </row>
    <row r="27" spans="2:9" x14ac:dyDescent="0.35">
      <c r="B27" t="s">
        <v>7</v>
      </c>
      <c r="C27" s="2">
        <v>1000000</v>
      </c>
      <c r="D27" s="2">
        <v>0</v>
      </c>
      <c r="E27" s="2">
        <v>0</v>
      </c>
      <c r="F27" s="15">
        <f>SUM(SimpleCapTableWithUnallocatedPool[[#This Row],[Common Stock]:[Common Stock (Plan)]])</f>
        <v>1000000</v>
      </c>
      <c r="G27" s="15">
        <f>SUM(SimpleCapTableWithUnallocatedPool[[#This Row],[Common Stock]:[Options (Plan)]])</f>
        <v>1000000</v>
      </c>
      <c r="H27" s="16">
        <f>SimpleCapTableWithUnallocatedPool[[#This Row],[Total Stock (Outstanding)]]/SimpleCapTableWithUnallocatedPool[[#Totals],[Total Stock (Outstanding)]]</f>
        <v>0.33333333333333331</v>
      </c>
      <c r="I27" s="16">
        <f>SimpleCapTableWithUnallocatedPool[[#This Row],[Total Stock (Fully Diluted)]]/SimpleCapTableWithUnallocatedPool[[#Totals],[Total Stock (Fully Diluted)]]</f>
        <v>0.30000003000000303</v>
      </c>
    </row>
    <row r="28" spans="2:9" x14ac:dyDescent="0.35">
      <c r="B28" t="s">
        <v>8</v>
      </c>
      <c r="C28" s="2">
        <v>500000</v>
      </c>
      <c r="D28" s="2">
        <v>0</v>
      </c>
      <c r="E28" s="2">
        <v>0</v>
      </c>
      <c r="F28" s="15">
        <f>SUM(SimpleCapTableWithUnallocatedPool[[#This Row],[Common Stock]:[Common Stock (Plan)]])</f>
        <v>500000</v>
      </c>
      <c r="G28" s="15">
        <f>SUM(SimpleCapTableWithUnallocatedPool[[#This Row],[Common Stock]:[Options (Plan)]])</f>
        <v>500000</v>
      </c>
      <c r="H28" s="16">
        <f>SimpleCapTableWithUnallocatedPool[[#This Row],[Total Stock (Outstanding)]]/SimpleCapTableWithUnallocatedPool[[#Totals],[Total Stock (Outstanding)]]</f>
        <v>0.16666666666666666</v>
      </c>
      <c r="I28" s="16">
        <f>SimpleCapTableWithUnallocatedPool[[#This Row],[Total Stock (Fully Diluted)]]/SimpleCapTableWithUnallocatedPool[[#Totals],[Total Stock (Fully Diluted)]]</f>
        <v>0.15000001500000151</v>
      </c>
    </row>
    <row r="29" spans="2:9" x14ac:dyDescent="0.35">
      <c r="B29" t="s">
        <v>9</v>
      </c>
      <c r="C29" s="2">
        <v>250000</v>
      </c>
      <c r="D29" s="2">
        <v>0</v>
      </c>
      <c r="E29" s="2">
        <v>0</v>
      </c>
      <c r="F29" s="15">
        <f>SUM(SimpleCapTableWithUnallocatedPool[[#This Row],[Common Stock]:[Common Stock (Plan)]])</f>
        <v>250000</v>
      </c>
      <c r="G29" s="15">
        <f>SUM(SimpleCapTableWithUnallocatedPool[[#This Row],[Common Stock]:[Options (Plan)]])</f>
        <v>250000</v>
      </c>
      <c r="H29" s="16">
        <f>SimpleCapTableWithUnallocatedPool[[#This Row],[Total Stock (Outstanding)]]/SimpleCapTableWithUnallocatedPool[[#Totals],[Total Stock (Outstanding)]]</f>
        <v>8.3333333333333329E-2</v>
      </c>
      <c r="I29" s="16">
        <f>SimpleCapTableWithUnallocatedPool[[#This Row],[Total Stock (Fully Diluted)]]/SimpleCapTableWithUnallocatedPool[[#Totals],[Total Stock (Fully Diluted)]]</f>
        <v>7.5000007500000757E-2</v>
      </c>
    </row>
    <row r="30" spans="2:9" x14ac:dyDescent="0.35">
      <c r="B30" t="s">
        <v>10</v>
      </c>
      <c r="C30" s="2">
        <v>250000</v>
      </c>
      <c r="D30" s="2">
        <v>0</v>
      </c>
      <c r="E30" s="2">
        <v>0</v>
      </c>
      <c r="F30" s="15">
        <f>SUM(SimpleCapTableWithUnallocatedPool[[#This Row],[Common Stock]:[Common Stock (Plan)]])</f>
        <v>250000</v>
      </c>
      <c r="G30" s="15">
        <f>SUM(SimpleCapTableWithUnallocatedPool[[#This Row],[Common Stock]:[Options (Plan)]])</f>
        <v>250000</v>
      </c>
      <c r="H30" s="16">
        <f>SimpleCapTableWithUnallocatedPool[[#This Row],[Total Stock (Outstanding)]]/SimpleCapTableWithUnallocatedPool[[#Totals],[Total Stock (Outstanding)]]</f>
        <v>8.3333333333333329E-2</v>
      </c>
      <c r="I30" s="16">
        <f>SimpleCapTableWithUnallocatedPool[[#This Row],[Total Stock (Fully Diluted)]]/SimpleCapTableWithUnallocatedPool[[#Totals],[Total Stock (Fully Diluted)]]</f>
        <v>7.5000007500000757E-2</v>
      </c>
    </row>
    <row r="31" spans="2:9" x14ac:dyDescent="0.35">
      <c r="B31" s="62" t="s">
        <v>11</v>
      </c>
      <c r="C31" s="2">
        <v>0</v>
      </c>
      <c r="D31" s="2">
        <v>0</v>
      </c>
      <c r="E31" s="2">
        <v>0</v>
      </c>
      <c r="F31" s="15">
        <f>SUM(SimpleCapTableWithUnallocatedPool[[#This Row],[Common Stock]:[Common Stock (Plan)]])</f>
        <v>0</v>
      </c>
      <c r="G31" s="15">
        <f>SUM(SimpleCapTableWithUnallocatedPool[[#This Row],[Common Stock]:[Options (Plan)]])</f>
        <v>0</v>
      </c>
      <c r="H31" s="16">
        <f>SimpleCapTableWithUnallocatedPool[[#This Row],[Total Stock (Outstanding)]]/SimpleCapTableWithUnallocatedPool[[#Totals],[Total Stock (Outstanding)]]</f>
        <v>0</v>
      </c>
      <c r="I31" s="16">
        <f>SimpleCapTableWithUnallocatedPool[[#This Row],[Total Stock (Fully Diluted)]]/SimpleCapTableWithUnallocatedPool[[#Totals],[Total Stock (Fully Diluted)]]</f>
        <v>0</v>
      </c>
    </row>
    <row r="32" spans="2:9" x14ac:dyDescent="0.35">
      <c r="B32" s="62" t="s">
        <v>12</v>
      </c>
      <c r="C32" s="2">
        <v>0</v>
      </c>
      <c r="D32" s="2">
        <v>0</v>
      </c>
      <c r="E32" s="2">
        <v>0</v>
      </c>
      <c r="F32" s="15">
        <f>SUM(SimpleCapTableWithUnallocatedPool[[#This Row],[Common Stock]:[Common Stock (Plan)]])</f>
        <v>0</v>
      </c>
      <c r="G32" s="15">
        <f>SUM(SimpleCapTableWithUnallocatedPool[[#This Row],[Common Stock]:[Options (Plan)]])</f>
        <v>0</v>
      </c>
      <c r="H32" s="16">
        <f>SimpleCapTableWithUnallocatedPool[[#This Row],[Total Stock (Outstanding)]]/SimpleCapTableWithUnallocatedPool[[#Totals],[Total Stock (Outstanding)]]</f>
        <v>0</v>
      </c>
      <c r="I32" s="16">
        <f>SimpleCapTableWithUnallocatedPool[[#This Row],[Total Stock (Fully Diluted)]]/SimpleCapTableWithUnallocatedPool[[#Totals],[Total Stock (Fully Diluted)]]</f>
        <v>0</v>
      </c>
    </row>
    <row r="33" spans="2:9" x14ac:dyDescent="0.35">
      <c r="B33" s="62" t="s">
        <v>13</v>
      </c>
      <c r="C33" s="2">
        <v>0</v>
      </c>
      <c r="D33" s="2">
        <v>0</v>
      </c>
      <c r="E33" s="2">
        <v>0</v>
      </c>
      <c r="F33" s="15">
        <f>SUM(SimpleCapTableWithUnallocatedPool[[#This Row],[Common Stock]:[Common Stock (Plan)]])</f>
        <v>0</v>
      </c>
      <c r="G33" s="15">
        <f>SUM(SimpleCapTableWithUnallocatedPool[[#This Row],[Common Stock]:[Options (Plan)]])</f>
        <v>0</v>
      </c>
      <c r="H33" s="16">
        <f>SimpleCapTableWithUnallocatedPool[[#This Row],[Total Stock (Outstanding)]]/SimpleCapTableWithUnallocatedPool[[#Totals],[Total Stock (Outstanding)]]</f>
        <v>0</v>
      </c>
      <c r="I33" s="16">
        <f>SimpleCapTableWithUnallocatedPool[[#This Row],[Total Stock (Fully Diluted)]]/SimpleCapTableWithUnallocatedPool[[#Totals],[Total Stock (Fully Diluted)]]</f>
        <v>0</v>
      </c>
    </row>
    <row r="34" spans="2:9" x14ac:dyDescent="0.35">
      <c r="B34" s="127" t="s">
        <v>63</v>
      </c>
      <c r="C34" s="128">
        <v>0</v>
      </c>
      <c r="D34" s="128">
        <v>0</v>
      </c>
      <c r="E34" s="128">
        <f>C37-SUM(D26:E33)</f>
        <v>333333</v>
      </c>
      <c r="F34" s="128">
        <f>SUM(SimpleCapTableWithUnallocatedPool[[#This Row],[Common Stock]:[Common Stock (Plan)]])</f>
        <v>0</v>
      </c>
      <c r="G34" s="128">
        <f>SUM(SimpleCapTableWithUnallocatedPool[[#This Row],[Common Stock]:[Options (Plan)]])</f>
        <v>333333</v>
      </c>
      <c r="H34" s="129">
        <f>SimpleCapTableWithUnallocatedPool[[#This Row],[Total Stock (Outstanding)]]/SimpleCapTableWithUnallocatedPool[[#Totals],[Total Stock (Outstanding)]]</f>
        <v>0</v>
      </c>
      <c r="I34" s="129">
        <f>SimpleCapTableWithUnallocatedPool[[#This Row],[Total Stock (Fully Diluted)]]/SimpleCapTableWithUnallocatedPool[[#Totals],[Total Stock (Fully Diluted)]]</f>
        <v>9.9999909999991005E-2</v>
      </c>
    </row>
    <row r="35" spans="2:9" x14ac:dyDescent="0.35">
      <c r="B35" t="s">
        <v>14</v>
      </c>
      <c r="C35" s="3">
        <f>SUBTOTAL(109,SimpleCapTableWithUnallocatedPool[Common Stock])</f>
        <v>3000000</v>
      </c>
      <c r="D35" s="3">
        <f>SUBTOTAL(109,SimpleCapTableWithUnallocatedPool[Common Stock (Plan)])</f>
        <v>0</v>
      </c>
      <c r="E35" s="3">
        <f>SUBTOTAL(109,SimpleCapTableWithUnallocatedPool[Options (Plan)])</f>
        <v>333333</v>
      </c>
      <c r="F35" s="3">
        <f>SUBTOTAL(109,SimpleCapTableWithUnallocatedPool[Total Stock (Outstanding)])</f>
        <v>3000000</v>
      </c>
      <c r="G35" s="3">
        <f>SUBTOTAL(109,SimpleCapTableWithUnallocatedPool[Total Stock (Fully Diluted)])</f>
        <v>3333333</v>
      </c>
      <c r="H35" s="6">
        <f>SUBTOTAL(109,SimpleCapTableWithUnallocatedPool[% Outstanding])</f>
        <v>1</v>
      </c>
      <c r="I35" s="6">
        <f>SUBTOTAL(109,SimpleCapTableWithUnallocatedPool[% Fully Diluted])</f>
        <v>1.0000000000000002</v>
      </c>
    </row>
    <row r="37" spans="2:9" x14ac:dyDescent="0.35">
      <c r="B37" s="10" t="s">
        <v>17</v>
      </c>
      <c r="C37" s="8">
        <v>333333</v>
      </c>
      <c r="E37" s="10" t="s">
        <v>18</v>
      </c>
      <c r="F37" s="13">
        <v>0.01</v>
      </c>
    </row>
    <row r="38" spans="2:9" x14ac:dyDescent="0.35">
      <c r="B38" s="11" t="s">
        <v>16</v>
      </c>
      <c r="C38" s="17">
        <f>C37/SimpleCapTableWithUnallocatedPool[[#Totals],[Total Stock (Fully Diluted)]]</f>
        <v>9.9999909999991005E-2</v>
      </c>
      <c r="E38" s="11" t="s">
        <v>19</v>
      </c>
      <c r="F38" s="18">
        <f>ROUNDDOWN($F$54*SimpleCapTableWithUnallocatedPool[[#Totals],[Total Stock (Fully Diluted)]],0)</f>
        <v>33333</v>
      </c>
    </row>
    <row r="39" spans="2:9" x14ac:dyDescent="0.35">
      <c r="B39" s="28"/>
      <c r="C39" s="138"/>
      <c r="E39" s="28"/>
      <c r="F39" s="139"/>
    </row>
    <row r="40" spans="2:9" x14ac:dyDescent="0.35">
      <c r="B40" s="28"/>
      <c r="C40" s="138"/>
      <c r="E40" s="28"/>
      <c r="F40" s="139"/>
    </row>
    <row r="41" spans="2:9" x14ac:dyDescent="0.35">
      <c r="B41" s="28"/>
      <c r="C41" s="138"/>
      <c r="E41" s="28"/>
      <c r="F41" s="139"/>
    </row>
    <row r="42" spans="2:9" ht="29" x14ac:dyDescent="0.35">
      <c r="B42" s="5" t="s">
        <v>0</v>
      </c>
      <c r="C42" s="7" t="s">
        <v>2</v>
      </c>
      <c r="D42" s="14" t="s">
        <v>1</v>
      </c>
      <c r="E42" s="14" t="s">
        <v>3</v>
      </c>
      <c r="F42" s="7" t="s">
        <v>4</v>
      </c>
      <c r="G42" s="14" t="s">
        <v>5</v>
      </c>
      <c r="H42" s="7" t="s">
        <v>15</v>
      </c>
      <c r="I42" s="14" t="s">
        <v>16</v>
      </c>
    </row>
    <row r="43" spans="2:9" x14ac:dyDescent="0.35">
      <c r="B43" t="s">
        <v>6</v>
      </c>
      <c r="C43" s="2">
        <v>1000000</v>
      </c>
      <c r="D43" s="2">
        <v>0</v>
      </c>
      <c r="E43" s="2">
        <v>0</v>
      </c>
      <c r="F43" s="2">
        <f>SUM(SimpleCapTableWithAllocatedPool[[#This Row],[Common Stock]:[Common Stock (Plan)]])</f>
        <v>1000000</v>
      </c>
      <c r="G43" s="2">
        <f>SUM(SimpleCapTableWithAllocatedPool[[#This Row],[Common Stock]:[Options (Plan)]])</f>
        <v>1000000</v>
      </c>
      <c r="H43" s="4">
        <f>SimpleCapTableWithAllocatedPool[[#This Row],[Total Stock (Outstanding)]]/SimpleCapTableWithAllocatedPool[[#Totals],[Total Stock (Outstanding)]]</f>
        <v>0.33333333333333331</v>
      </c>
      <c r="I43" s="4">
        <f>SimpleCapTableWithAllocatedPool[[#This Row],[Total Stock (Fully Diluted)]]/SimpleCapTableWithAllocatedPool[[#Totals],[Total Stock (Fully Diluted)]]</f>
        <v>0.30000003000000303</v>
      </c>
    </row>
    <row r="44" spans="2:9" x14ac:dyDescent="0.35">
      <c r="B44" t="s">
        <v>7</v>
      </c>
      <c r="C44" s="2">
        <v>1000000</v>
      </c>
      <c r="D44" s="2">
        <v>0</v>
      </c>
      <c r="E44" s="2">
        <v>0</v>
      </c>
      <c r="F44" s="2">
        <f>SUM(SimpleCapTableWithAllocatedPool[[#This Row],[Common Stock]:[Common Stock (Plan)]])</f>
        <v>1000000</v>
      </c>
      <c r="G44" s="2">
        <f>SUM(SimpleCapTableWithAllocatedPool[[#This Row],[Common Stock]:[Options (Plan)]])</f>
        <v>1000000</v>
      </c>
      <c r="H44" s="4">
        <f>SimpleCapTableWithAllocatedPool[[#This Row],[Total Stock (Outstanding)]]/SimpleCapTableWithAllocatedPool[[#Totals],[Total Stock (Outstanding)]]</f>
        <v>0.33333333333333331</v>
      </c>
      <c r="I44" s="4">
        <f>SimpleCapTableWithAllocatedPool[[#This Row],[Total Stock (Fully Diluted)]]/SimpleCapTableWithAllocatedPool[[#Totals],[Total Stock (Fully Diluted)]]</f>
        <v>0.30000003000000303</v>
      </c>
    </row>
    <row r="45" spans="2:9" x14ac:dyDescent="0.35">
      <c r="B45" t="s">
        <v>8</v>
      </c>
      <c r="C45" s="2">
        <v>500000</v>
      </c>
      <c r="D45" s="2">
        <v>0</v>
      </c>
      <c r="E45" s="2">
        <v>0</v>
      </c>
      <c r="F45" s="2">
        <f>SUM(SimpleCapTableWithAllocatedPool[[#This Row],[Common Stock]:[Common Stock (Plan)]])</f>
        <v>500000</v>
      </c>
      <c r="G45" s="2">
        <f>SUM(SimpleCapTableWithAllocatedPool[[#This Row],[Common Stock]:[Options (Plan)]])</f>
        <v>500000</v>
      </c>
      <c r="H45" s="4">
        <f>SimpleCapTableWithAllocatedPool[[#This Row],[Total Stock (Outstanding)]]/SimpleCapTableWithAllocatedPool[[#Totals],[Total Stock (Outstanding)]]</f>
        <v>0.16666666666666666</v>
      </c>
      <c r="I45" s="4">
        <f>SimpleCapTableWithAllocatedPool[[#This Row],[Total Stock (Fully Diluted)]]/SimpleCapTableWithAllocatedPool[[#Totals],[Total Stock (Fully Diluted)]]</f>
        <v>0.15000001500000151</v>
      </c>
    </row>
    <row r="46" spans="2:9" x14ac:dyDescent="0.35">
      <c r="B46" t="s">
        <v>9</v>
      </c>
      <c r="C46" s="2">
        <v>250000</v>
      </c>
      <c r="D46" s="2">
        <v>0</v>
      </c>
      <c r="E46" s="2">
        <v>0</v>
      </c>
      <c r="F46" s="2">
        <f>SUM(SimpleCapTableWithAllocatedPool[[#This Row],[Common Stock]:[Common Stock (Plan)]])</f>
        <v>250000</v>
      </c>
      <c r="G46" s="2">
        <f>SUM(SimpleCapTableWithAllocatedPool[[#This Row],[Common Stock]:[Options (Plan)]])</f>
        <v>250000</v>
      </c>
      <c r="H46" s="4">
        <f>SimpleCapTableWithAllocatedPool[[#This Row],[Total Stock (Outstanding)]]/SimpleCapTableWithAllocatedPool[[#Totals],[Total Stock (Outstanding)]]</f>
        <v>8.3333333333333329E-2</v>
      </c>
      <c r="I46" s="4">
        <f>SimpleCapTableWithAllocatedPool[[#This Row],[Total Stock (Fully Diluted)]]/SimpleCapTableWithAllocatedPool[[#Totals],[Total Stock (Fully Diluted)]]</f>
        <v>7.5000007500000757E-2</v>
      </c>
    </row>
    <row r="47" spans="2:9" x14ac:dyDescent="0.35">
      <c r="B47" t="s">
        <v>10</v>
      </c>
      <c r="C47" s="2">
        <v>250000</v>
      </c>
      <c r="D47" s="2">
        <v>0</v>
      </c>
      <c r="E47" s="2">
        <v>0</v>
      </c>
      <c r="F47" s="2">
        <f>SUM(SimpleCapTableWithAllocatedPool[[#This Row],[Common Stock]:[Common Stock (Plan)]])</f>
        <v>250000</v>
      </c>
      <c r="G47" s="2">
        <f>SUM(SimpleCapTableWithAllocatedPool[[#This Row],[Common Stock]:[Options (Plan)]])</f>
        <v>250000</v>
      </c>
      <c r="H47" s="4">
        <f>SimpleCapTableWithAllocatedPool[[#This Row],[Total Stock (Outstanding)]]/SimpleCapTableWithAllocatedPool[[#Totals],[Total Stock (Outstanding)]]</f>
        <v>8.3333333333333329E-2</v>
      </c>
      <c r="I47" s="4">
        <f>SimpleCapTableWithAllocatedPool[[#This Row],[Total Stock (Fully Diluted)]]/SimpleCapTableWithAllocatedPool[[#Totals],[Total Stock (Fully Diluted)]]</f>
        <v>7.5000007500000757E-2</v>
      </c>
    </row>
    <row r="48" spans="2:9" x14ac:dyDescent="0.35">
      <c r="B48" s="62" t="s">
        <v>11</v>
      </c>
      <c r="C48" s="2">
        <v>0</v>
      </c>
      <c r="D48" s="2">
        <v>0</v>
      </c>
      <c r="E48" s="2">
        <v>66666</v>
      </c>
      <c r="F48" s="2">
        <f>SUM(SimpleCapTableWithAllocatedPool[[#This Row],[Common Stock]:[Common Stock (Plan)]])</f>
        <v>0</v>
      </c>
      <c r="G48" s="2">
        <f>SUM(SimpleCapTableWithAllocatedPool[[#This Row],[Common Stock]:[Options (Plan)]])</f>
        <v>66666</v>
      </c>
      <c r="H48" s="4">
        <f>SimpleCapTableWithAllocatedPool[[#This Row],[Total Stock (Outstanding)]]/SimpleCapTableWithAllocatedPool[[#Totals],[Total Stock (Outstanding)]]</f>
        <v>0</v>
      </c>
      <c r="I48" s="4">
        <f>SimpleCapTableWithAllocatedPool[[#This Row],[Total Stock (Fully Diluted)]]/SimpleCapTableWithAllocatedPool[[#Totals],[Total Stock (Fully Diluted)]]</f>
        <v>1.99998019999802E-2</v>
      </c>
    </row>
    <row r="49" spans="2:9" x14ac:dyDescent="0.35">
      <c r="B49" s="62" t="s">
        <v>12</v>
      </c>
      <c r="C49" s="2">
        <v>0</v>
      </c>
      <c r="D49" s="2">
        <v>0</v>
      </c>
      <c r="E49" s="2">
        <v>33333</v>
      </c>
      <c r="F49" s="2">
        <f>SUM(SimpleCapTableWithAllocatedPool[[#This Row],[Common Stock]:[Common Stock (Plan)]])</f>
        <v>0</v>
      </c>
      <c r="G49" s="2">
        <f>SUM(SimpleCapTableWithAllocatedPool[[#This Row],[Common Stock]:[Options (Plan)]])</f>
        <v>33333</v>
      </c>
      <c r="H49" s="4">
        <f>SimpleCapTableWithAllocatedPool[[#This Row],[Total Stock (Outstanding)]]/SimpleCapTableWithAllocatedPool[[#Totals],[Total Stock (Outstanding)]]</f>
        <v>0</v>
      </c>
      <c r="I49" s="4">
        <f>SimpleCapTableWithAllocatedPool[[#This Row],[Total Stock (Fully Diluted)]]/SimpleCapTableWithAllocatedPool[[#Totals],[Total Stock (Fully Diluted)]]</f>
        <v>9.9999009999901002E-3</v>
      </c>
    </row>
    <row r="50" spans="2:9" x14ac:dyDescent="0.35">
      <c r="B50" s="62" t="s">
        <v>13</v>
      </c>
      <c r="C50" s="2">
        <v>0</v>
      </c>
      <c r="D50" s="2">
        <v>0</v>
      </c>
      <c r="E50" s="2">
        <v>3333</v>
      </c>
      <c r="F50" s="2">
        <f>SUM(SimpleCapTableWithAllocatedPool[[#This Row],[Common Stock]:[Common Stock (Plan)]])</f>
        <v>0</v>
      </c>
      <c r="G50" s="2">
        <f>SUM(SimpleCapTableWithAllocatedPool[[#This Row],[Common Stock]:[Options (Plan)]])</f>
        <v>3333</v>
      </c>
      <c r="H50" s="4">
        <f>SimpleCapTableWithAllocatedPool[[#This Row],[Total Stock (Outstanding)]]/SimpleCapTableWithAllocatedPool[[#Totals],[Total Stock (Outstanding)]]</f>
        <v>0</v>
      </c>
      <c r="I50" s="4">
        <f>SimpleCapTableWithAllocatedPool[[#This Row],[Total Stock (Fully Diluted)]]/SimpleCapTableWithAllocatedPool[[#Totals],[Total Stock (Fully Diluted)]]</f>
        <v>9.9990009999000994E-4</v>
      </c>
    </row>
    <row r="51" spans="2:9" x14ac:dyDescent="0.35">
      <c r="B51" s="127" t="s">
        <v>63</v>
      </c>
      <c r="C51" s="128">
        <v>0</v>
      </c>
      <c r="D51" s="128">
        <v>0</v>
      </c>
      <c r="E51" s="128">
        <f>C54-SUM(D43:E50)</f>
        <v>230001</v>
      </c>
      <c r="F51" s="128">
        <f>SUM(SimpleCapTableWithAllocatedPool[[#This Row],[Common Stock]:[Common Stock (Plan)]])</f>
        <v>0</v>
      </c>
      <c r="G51" s="128">
        <f>SUM(SimpleCapTableWithAllocatedPool[[#This Row],[Common Stock]:[Options (Plan)]])</f>
        <v>230001</v>
      </c>
      <c r="H51" s="129">
        <f>SimpleCapTableWithAllocatedPool[[#This Row],[Total Stock (Outstanding)]]/SimpleCapTableWithAllocatedPool[[#Totals],[Total Stock (Outstanding)]]</f>
        <v>0</v>
      </c>
      <c r="I51" s="129">
        <f>SimpleCapTableWithAllocatedPool[[#This Row],[Total Stock (Fully Diluted)]]/SimpleCapTableWithAllocatedPool[[#Totals],[Total Stock (Fully Diluted)]]</f>
        <v>6.9000306900030686E-2</v>
      </c>
    </row>
    <row r="52" spans="2:9" x14ac:dyDescent="0.35">
      <c r="B52" t="s">
        <v>14</v>
      </c>
      <c r="C52" s="3">
        <f>SUBTOTAL(109,SimpleCapTableWithAllocatedPool[Common Stock])</f>
        <v>3000000</v>
      </c>
      <c r="D52" s="3">
        <f>SUBTOTAL(109,SimpleCapTableWithAllocatedPool[Common Stock (Plan)])</f>
        <v>0</v>
      </c>
      <c r="E52" s="3">
        <f>SUBTOTAL(109,SimpleCapTableWithAllocatedPool[Options (Plan)])</f>
        <v>333333</v>
      </c>
      <c r="F52" s="3">
        <f>SUBTOTAL(109,SimpleCapTableWithAllocatedPool[Total Stock (Outstanding)])</f>
        <v>3000000</v>
      </c>
      <c r="G52" s="3">
        <f>SUBTOTAL(109,SimpleCapTableWithAllocatedPool[Total Stock (Fully Diluted)])</f>
        <v>3333333</v>
      </c>
      <c r="H52" s="6">
        <f>SUBTOTAL(109,SimpleCapTableWithAllocatedPool[% Outstanding])</f>
        <v>1</v>
      </c>
      <c r="I52" s="6">
        <f>SUBTOTAL(109,SimpleCapTableWithAllocatedPool[% Fully Diluted])</f>
        <v>1.0000000000000002</v>
      </c>
    </row>
    <row r="54" spans="2:9" x14ac:dyDescent="0.35">
      <c r="B54" s="10" t="s">
        <v>17</v>
      </c>
      <c r="C54" s="8">
        <v>333333</v>
      </c>
      <c r="E54" s="10" t="s">
        <v>18</v>
      </c>
      <c r="F54" s="13">
        <v>0.01</v>
      </c>
    </row>
    <row r="55" spans="2:9" x14ac:dyDescent="0.35">
      <c r="B55" s="11" t="s">
        <v>16</v>
      </c>
      <c r="C55" s="9">
        <f>C54/SimpleCapTableWithAllocatedPool[[#Totals],[Total Stock (Fully Diluted)]]</f>
        <v>9.9999909999991005E-2</v>
      </c>
      <c r="E55" s="11" t="s">
        <v>19</v>
      </c>
      <c r="F55" s="12">
        <f>ROUNDDOWN($F$54*SimpleCapTableWithAllocatedPool[[#Totals],[Total Stock (Fully Diluted)]],0)</f>
        <v>33333</v>
      </c>
    </row>
    <row r="60" spans="2:9" s="49" customFormat="1" ht="6" customHeight="1" x14ac:dyDescent="0.35"/>
    <row r="62" spans="2:9" ht="20" thickBot="1" x14ac:dyDescent="0.5">
      <c r="B62" s="135" t="s">
        <v>121</v>
      </c>
      <c r="C62" s="135"/>
      <c r="D62" s="135"/>
      <c r="E62" s="135"/>
      <c r="F62" s="135"/>
      <c r="G62" s="135"/>
    </row>
    <row r="63" spans="2:9" ht="15" thickTop="1" x14ac:dyDescent="0.35"/>
    <row r="64" spans="2:9" x14ac:dyDescent="0.35">
      <c r="B64" s="28" t="s">
        <v>43</v>
      </c>
    </row>
    <row r="65" spans="2:13" x14ac:dyDescent="0.35">
      <c r="B65" t="s">
        <v>20</v>
      </c>
      <c r="C65" t="s">
        <v>22</v>
      </c>
      <c r="D65" t="s">
        <v>23</v>
      </c>
      <c r="E65" t="s">
        <v>24</v>
      </c>
      <c r="F65" t="s">
        <v>25</v>
      </c>
      <c r="G65" t="s">
        <v>26</v>
      </c>
      <c r="H65" t="s">
        <v>56</v>
      </c>
      <c r="I65" t="s">
        <v>55</v>
      </c>
    </row>
    <row r="66" spans="2:13" x14ac:dyDescent="0.35">
      <c r="B66" t="s">
        <v>21</v>
      </c>
      <c r="C66" s="22">
        <v>500000</v>
      </c>
      <c r="D66" s="22">
        <v>5000000</v>
      </c>
      <c r="E66" s="3">
        <f ca="1">SUM(SimpleCapTableWithUnallocatedPool[[#Totals],[Total Stock (Fully Diluted)]],PostMoneySAFEWithValuationCap[[#This Row],[Number of Shares]])</f>
        <v>3703703</v>
      </c>
      <c r="F66" s="24">
        <f ca="1">ROUND(IF(PostMoneySAFEWithValuationCap[[#This Row],[Post-money Cap]]&lt;$C$82,PostMoneySAFEWithValuationCap[[#This Row],[Post-money Cap]]/PostMoneySAFEWithValuationCap[[#This Row],[Company Capitalization]],$C$82/PostMoneySAFEWithValuationCap[[#This Row],[Company Capitalization]]),4)</f>
        <v>1.35</v>
      </c>
      <c r="G66" s="2">
        <f ca="1">ROUNDDOWN(PostMoneySAFEWithValuationCap[[#This Row],[Amount]]/PostMoneySAFEWithValuationCap[[#This Row],[Conversion Price]],0)</f>
        <v>370370</v>
      </c>
      <c r="H66" s="4">
        <f ca="1">PostMoneySAFEWithValuationCap[[#This Row],[Number of Shares]]/PostMoneySAFEWithValuationCap[[#This Row],[Company Capitalization]]</f>
        <v>9.9999918999984616E-2</v>
      </c>
      <c r="I66" s="4">
        <f ca="1">PostMoneySAFEWithValuationCap[[#This Row],[Number of Shares]]/$C$92</f>
        <v>7.8188712258065604E-2</v>
      </c>
    </row>
    <row r="67" spans="2:13" x14ac:dyDescent="0.35">
      <c r="B67" s="1" t="s">
        <v>14</v>
      </c>
      <c r="C67" s="27">
        <f>SUBTOTAL(109,PostMoneySAFEWithValuationCap[Amount])</f>
        <v>500000</v>
      </c>
      <c r="D67" s="21"/>
      <c r="G67" s="20">
        <f ca="1">SUBTOTAL(109,PostMoneySAFEWithValuationCap[Number of Shares])</f>
        <v>370370</v>
      </c>
      <c r="H67" s="26">
        <f ca="1">SUBTOTAL(109,PostMoneySAFEWithValuationCap[FD % Pre-financing])</f>
        <v>9.9999918999984616E-2</v>
      </c>
      <c r="I67" s="26">
        <f ca="1">SUBTOTAL(109,PostMoneySAFEWithValuationCap[FD % Post-financing])</f>
        <v>7.8188712258065604E-2</v>
      </c>
    </row>
    <row r="69" spans="2:13" x14ac:dyDescent="0.35">
      <c r="B69" s="28" t="s">
        <v>58</v>
      </c>
    </row>
    <row r="70" spans="2:13" x14ac:dyDescent="0.35">
      <c r="B70" t="s">
        <v>45</v>
      </c>
      <c r="C70" t="s">
        <v>52</v>
      </c>
      <c r="D70" t="s">
        <v>46</v>
      </c>
      <c r="E70" t="s">
        <v>47</v>
      </c>
      <c r="F70" t="s">
        <v>49</v>
      </c>
      <c r="G70" t="s">
        <v>51</v>
      </c>
      <c r="H70" t="s">
        <v>50</v>
      </c>
      <c r="I70" t="s">
        <v>53</v>
      </c>
      <c r="J70" t="s">
        <v>25</v>
      </c>
      <c r="K70" t="s">
        <v>26</v>
      </c>
      <c r="L70" t="s">
        <v>56</v>
      </c>
      <c r="M70" t="s">
        <v>55</v>
      </c>
    </row>
    <row r="71" spans="2:13" x14ac:dyDescent="0.35">
      <c r="B71" t="s">
        <v>21</v>
      </c>
      <c r="C71" s="22">
        <v>500000</v>
      </c>
      <c r="D71" s="29">
        <v>44927</v>
      </c>
      <c r="E71" s="25">
        <v>0.1</v>
      </c>
      <c r="F71" s="23">
        <f>ROUND(ConvertibleNoteWithPreMoneyValuationCap[[#This Row],[Interest Rate]]/365*($C$85-ConvertibleNoteWithPreMoneyValuationCap[[#This Row],[Issuance Date]])*ConvertibleNoteWithPreMoneyValuationCap[[#This Row],[Original Principal]],2)</f>
        <v>47671.23</v>
      </c>
      <c r="G71" s="23">
        <f>SUM(ConvertibleNoteWithPreMoneyValuationCap[[#This Row],[Original Principal]],ConvertibleNoteWithPreMoneyValuationCap[[#This Row],[Total Interest]])</f>
        <v>547671.23</v>
      </c>
      <c r="H71" s="22">
        <v>5000000</v>
      </c>
      <c r="I71" s="2">
        <f>SimpleCapTableWithAllocatedPool[[#Totals],[Total Stock (Fully Diluted)]]</f>
        <v>3333333</v>
      </c>
      <c r="J71" s="24">
        <f>ROUND(IF(ConvertibleNoteWithPreMoneyValuationCap[[#This Row],[Pre-money Cap]]&lt;$C$82,ConvertibleNoteWithPreMoneyValuationCap[[#This Row],[Pre-money Cap]]/ConvertibleNoteWithPreMoneyValuationCap[[#This Row],[Capitalization]],$C$82/ConvertibleNoteWithPreMoneyValuationCap[[#This Row],[Capitalization]]),4)</f>
        <v>1.5</v>
      </c>
      <c r="K71" s="2">
        <f>ROUNDDOWN(ConvertibleNoteWithPreMoneyValuationCap[[#This Row],[Principal + Interest]]/ConvertibleNoteWithPreMoneyValuationCap[[#This Row],[Conversion Price]],0)</f>
        <v>365114</v>
      </c>
      <c r="L71" s="4">
        <f>ConvertibleNoteWithPreMoneyValuationCap[[#This Row],[Number of Shares]]/SUM(SimpleCapTableWithAllocatedPool[[#Totals],[Total Stock (Fully Diluted)]],ConvertibleNoteWithPreMoneyValuationCap[[#This Row],[Number of Shares]])</f>
        <v>9.8720895554269134E-2</v>
      </c>
      <c r="M71" s="4">
        <f ca="1">ConvertibleNoteWithPreMoneyValuationCap[[#This Row],[Number of Shares]]/$F$92</f>
        <v>7.7196277806297425E-2</v>
      </c>
    </row>
    <row r="72" spans="2:13" x14ac:dyDescent="0.35">
      <c r="B72" s="1" t="s">
        <v>14</v>
      </c>
      <c r="C72" s="27">
        <f>SUBTOTAL(109,ConvertibleNoteWithPreMoneyValuationCap[Original Principal])</f>
        <v>500000</v>
      </c>
      <c r="D72" s="21"/>
      <c r="F72" s="31">
        <f>SUBTOTAL(109,ConvertibleNoteWithPreMoneyValuationCap[Total Interest])</f>
        <v>47671.23</v>
      </c>
      <c r="G72" s="19">
        <f>SUBTOTAL(109,ConvertibleNoteWithPreMoneyValuationCap[Principal + Interest])</f>
        <v>547671.23</v>
      </c>
      <c r="H72" s="30"/>
      <c r="I72" s="26"/>
      <c r="J72"/>
      <c r="K72" s="3">
        <f>SUBTOTAL(109,ConvertibleNoteWithPreMoneyValuationCap[Number of Shares])</f>
        <v>365114</v>
      </c>
      <c r="L72" s="42">
        <f>SUBTOTAL(109,ConvertibleNoteWithPreMoneyValuationCap[FD % Pre-financing])</f>
        <v>9.8720895554269134E-2</v>
      </c>
      <c r="M72" s="42">
        <f ca="1">SUBTOTAL(109,ConvertibleNoteWithPreMoneyValuationCap[FD % Post-financing])</f>
        <v>7.7196277806297425E-2</v>
      </c>
    </row>
    <row r="73" spans="2:13" x14ac:dyDescent="0.35">
      <c r="C73" s="27"/>
      <c r="D73" s="21"/>
      <c r="F73" s="31"/>
      <c r="G73" s="20"/>
      <c r="H73" s="30"/>
      <c r="I73" s="26"/>
      <c r="J73"/>
      <c r="K73" s="3"/>
      <c r="L73" s="42"/>
      <c r="M73" s="42"/>
    </row>
    <row r="74" spans="2:13" x14ac:dyDescent="0.35">
      <c r="B74" s="28" t="s">
        <v>59</v>
      </c>
    </row>
    <row r="75" spans="2:13" x14ac:dyDescent="0.35">
      <c r="B75" t="s">
        <v>20</v>
      </c>
      <c r="C75" t="s">
        <v>22</v>
      </c>
      <c r="D75" t="s">
        <v>41</v>
      </c>
      <c r="E75" t="s">
        <v>42</v>
      </c>
      <c r="F75" t="s">
        <v>25</v>
      </c>
      <c r="G75" t="s">
        <v>26</v>
      </c>
      <c r="H75" t="s">
        <v>56</v>
      </c>
      <c r="I75" t="s">
        <v>55</v>
      </c>
    </row>
    <row r="76" spans="2:13" x14ac:dyDescent="0.35">
      <c r="B76" t="s">
        <v>21</v>
      </c>
      <c r="C76" s="22">
        <v>500000</v>
      </c>
      <c r="D76" s="25">
        <v>0.2</v>
      </c>
      <c r="E76" s="24">
        <f ca="1">C90</f>
        <v>2.5333000000000001</v>
      </c>
      <c r="F76" s="24">
        <f ca="1">ROUND(SAFEWithDiscount[[#This Row],[Series A New Money Price]]*(1-SAFEWithDiscount[[#This Row],[Discount]]),4)</f>
        <v>2.0266000000000002</v>
      </c>
      <c r="G76" s="2">
        <f ca="1">ROUNDDOWN(SAFEWithDiscount[[#This Row],[Amount]]/SAFEWithDiscount[[#This Row],[Conversion Price]],0)</f>
        <v>246718</v>
      </c>
      <c r="H76" s="4">
        <f ca="1">SAFEWithDiscount[[#This Row],[Number of Shares]]/SUM(SimpleCapTableWithAllocatedPool[[#Totals],[Total Stock (Fully Diluted)]],SAFEWithDiscount[[#This Row],[Number of Shares]])</f>
        <v>6.8914660712933978E-2</v>
      </c>
      <c r="I76" s="4">
        <f ca="1">SAFEWithDiscount[[#This Row],[Number of Shares]]/$I$92</f>
        <v>5.4007031565868557E-2</v>
      </c>
    </row>
    <row r="77" spans="2:13" x14ac:dyDescent="0.35">
      <c r="B77" s="1" t="s">
        <v>14</v>
      </c>
      <c r="C77" s="27">
        <f>SUBTOTAL(109,SAFEWithDiscount[Amount])</f>
        <v>500000</v>
      </c>
      <c r="D77" s="21"/>
      <c r="G77" s="20">
        <f ca="1">SUBTOTAL(109,SAFEWithDiscount[Number of Shares])</f>
        <v>246718</v>
      </c>
      <c r="H77" s="26">
        <f ca="1">SUBTOTAL(109,SAFEWithDiscount[FD % Pre-financing])</f>
        <v>6.8914660712933978E-2</v>
      </c>
      <c r="I77" s="26">
        <f ca="1">SUBTOTAL(109,SAFEWithDiscount[FD % Post-financing])</f>
        <v>5.4007031565868557E-2</v>
      </c>
    </row>
    <row r="80" spans="2:13" x14ac:dyDescent="0.35">
      <c r="B80" s="28"/>
    </row>
    <row r="81" spans="2:17" x14ac:dyDescent="0.35">
      <c r="B81" s="48" t="s">
        <v>44</v>
      </c>
      <c r="C81" s="43"/>
      <c r="E81" s="45" t="s">
        <v>54</v>
      </c>
      <c r="F81" s="46"/>
      <c r="H81" s="47" t="s">
        <v>126</v>
      </c>
      <c r="I81" s="44"/>
      <c r="K81" t="s">
        <v>64</v>
      </c>
      <c r="L81" s="81" t="s">
        <v>67</v>
      </c>
      <c r="M81" s="81" t="s">
        <v>72</v>
      </c>
      <c r="N81" s="81" t="s">
        <v>73</v>
      </c>
      <c r="O81" s="81" t="s">
        <v>68</v>
      </c>
      <c r="P81" s="81" t="s">
        <v>69</v>
      </c>
      <c r="Q81" s="81" t="s">
        <v>70</v>
      </c>
    </row>
    <row r="82" spans="2:17" x14ac:dyDescent="0.35">
      <c r="B82" s="32" t="s">
        <v>27</v>
      </c>
      <c r="C82" s="33">
        <v>10000000</v>
      </c>
      <c r="E82" s="32" t="s">
        <v>27</v>
      </c>
      <c r="F82" s="58">
        <f>I82</f>
        <v>10000000</v>
      </c>
      <c r="H82" s="32" t="s">
        <v>27</v>
      </c>
      <c r="I82" s="58">
        <f>C82</f>
        <v>10000000</v>
      </c>
      <c r="K82" t="s">
        <v>65</v>
      </c>
      <c r="L82" s="137">
        <v>1500000</v>
      </c>
      <c r="M82" s="2">
        <v>0</v>
      </c>
      <c r="N82" s="2">
        <f ca="1">ROUNDDOWN(SeriesAInvestorSummary[[#This Row],[Target Investment]]/$C$90,0)</f>
        <v>592113</v>
      </c>
      <c r="O82" s="23">
        <f ca="1">ROUND(SeriesAInvestorSummary[[#This Row],[New Money Shares]]*$C$90,2)</f>
        <v>1499999.86</v>
      </c>
      <c r="P82" s="4">
        <f ca="1">SUM(SeriesAInvestorSummary[[#This Row],[Existing Preferred Shares]:[New Money Shares]])/$C$92</f>
        <v>0.12500081805022006</v>
      </c>
      <c r="Q82" s="4">
        <f ca="1">SUM(SeriesAInvestorSummary[[#This Row],[Existing Preferred Shares]:[New Money Shares]])/SUM(PostMoneySAFEWithValuationCap[[#Totals],[Number of Shares]],SeriesAInvestorSummary[[#Totals],[New Money Shares]])</f>
        <v>0.51050693493054722</v>
      </c>
    </row>
    <row r="83" spans="2:17" x14ac:dyDescent="0.35">
      <c r="B83" s="32" t="s">
        <v>28</v>
      </c>
      <c r="C83" s="33">
        <v>2000000</v>
      </c>
      <c r="E83" s="32" t="s">
        <v>28</v>
      </c>
      <c r="F83" s="59">
        <f>I83</f>
        <v>2000000</v>
      </c>
      <c r="H83" s="32" t="s">
        <v>28</v>
      </c>
      <c r="I83" s="59">
        <f>C83</f>
        <v>2000000</v>
      </c>
      <c r="K83" t="s">
        <v>66</v>
      </c>
      <c r="L83" s="137">
        <v>300000</v>
      </c>
      <c r="M83" s="2">
        <v>0</v>
      </c>
      <c r="N83" s="2">
        <f ca="1">ROUNDDOWN(SeriesAInvestorSummary[[#This Row],[Target Investment]]/$C$90,0)</f>
        <v>118422</v>
      </c>
      <c r="O83" s="23">
        <f ca="1">ROUND(SeriesAInvestorSummary[[#This Row],[New Money Shares]]*$C$90,2)</f>
        <v>299998.45</v>
      </c>
      <c r="P83" s="4">
        <f ca="1">SUM(SeriesAInvestorSummary[[#This Row],[Existing Preferred Shares]:[New Money Shares]])/$C$92</f>
        <v>2.5000036944203486E-2</v>
      </c>
      <c r="Q83" s="4">
        <f ca="1">SUM(SeriesAInvestorSummary[[#This Row],[Existing Preferred Shares]:[New Money Shares]])/SUM(PostMoneySAFEWithValuationCap[[#Totals],[Number of Shares]],SeriesAInvestorSummary[[#Totals],[New Money Shares]])</f>
        <v>0.10210086967917487</v>
      </c>
    </row>
    <row r="84" spans="2:17" x14ac:dyDescent="0.35">
      <c r="B84" s="32" t="s">
        <v>39</v>
      </c>
      <c r="C84" s="34">
        <v>0.1</v>
      </c>
      <c r="E84" s="32" t="s">
        <v>39</v>
      </c>
      <c r="F84" s="60">
        <f>I84</f>
        <v>0.1</v>
      </c>
      <c r="H84" s="32" t="s">
        <v>39</v>
      </c>
      <c r="I84" s="60">
        <f>C84</f>
        <v>0.1</v>
      </c>
      <c r="K84" t="s">
        <v>21</v>
      </c>
      <c r="L84" s="137">
        <v>200000</v>
      </c>
      <c r="M84" s="2">
        <f ca="1">PostMoneySAFEWithValuationCap[Number of Shares]</f>
        <v>370370</v>
      </c>
      <c r="N84" s="2">
        <f ca="1">ROUNDDOWN(SeriesAInvestorSummary[[#This Row],[Target Investment]]/$C$90,0)</f>
        <v>78948</v>
      </c>
      <c r="O84" s="23">
        <f ca="1">ROUND(SeriesAInvestorSummary[[#This Row],[New Money Shares]]*$C$90,2)</f>
        <v>199998.97</v>
      </c>
      <c r="P84" s="4">
        <f ca="1">SUM(SeriesAInvestorSummary[[#This Row],[Existing Preferred Shares]:[New Money Shares]])/$C$92</f>
        <v>9.4855403554201259E-2</v>
      </c>
      <c r="Q84" s="4">
        <f ca="1">SUM(SeriesAInvestorSummary[[#This Row],[Existing Preferred Shares]:[New Money Shares]])/SUM(PostMoneySAFEWithValuationCap[[#Totals],[Number of Shares]],SeriesAInvestorSummary[[#Totals],[New Money Shares]])</f>
        <v>0.38739219539027792</v>
      </c>
    </row>
    <row r="85" spans="2:17" x14ac:dyDescent="0.35">
      <c r="B85" s="32" t="s">
        <v>48</v>
      </c>
      <c r="C85" s="35">
        <v>45275</v>
      </c>
      <c r="E85" s="32" t="s">
        <v>48</v>
      </c>
      <c r="F85" s="61">
        <f>I85</f>
        <v>45275</v>
      </c>
      <c r="H85" s="32" t="s">
        <v>48</v>
      </c>
      <c r="I85" s="61">
        <f>C85</f>
        <v>45275</v>
      </c>
      <c r="K85" s="66" t="s">
        <v>71</v>
      </c>
      <c r="L85" s="23">
        <f>$C$83-SUM(L82:L84)</f>
        <v>0</v>
      </c>
      <c r="M85" s="2">
        <v>0</v>
      </c>
      <c r="N85" s="2">
        <f ca="1">ROUNDDOWN(SeriesAInvestorSummary[[#This Row],[Target Investment]]/$C$90,0)</f>
        <v>0</v>
      </c>
      <c r="O85" s="23">
        <f ca="1">ROUND(SeriesAInvestorSummary[[#This Row],[New Money Shares]]*$C$90,2)</f>
        <v>0</v>
      </c>
      <c r="P85" s="4">
        <f ca="1">SUM(SeriesAInvestorSummary[[#This Row],[Existing Preferred Shares]:[New Money Shares]])/$C$92</f>
        <v>0</v>
      </c>
      <c r="Q85" s="4">
        <f ca="1">SUM(SeriesAInvestorSummary[[#This Row],[Existing Preferred Shares]:[New Money Shares]])/SUM(PostMoneySAFEWithValuationCap[[#Totals],[Number of Shares]],SeriesAInvestorSummary[[#Totals],[New Money Shares]])</f>
        <v>0</v>
      </c>
    </row>
    <row r="86" spans="2:17" x14ac:dyDescent="0.35">
      <c r="B86" s="32" t="s">
        <v>37</v>
      </c>
      <c r="C86" s="36">
        <f>E51</f>
        <v>230001</v>
      </c>
      <c r="E86" s="32" t="s">
        <v>37</v>
      </c>
      <c r="F86" s="36">
        <f>I86</f>
        <v>230001</v>
      </c>
      <c r="H86" s="32" t="s">
        <v>37</v>
      </c>
      <c r="I86" s="36">
        <f>C86</f>
        <v>230001</v>
      </c>
      <c r="K86" t="s">
        <v>14</v>
      </c>
      <c r="L86" s="63">
        <f>SUBTOTAL(109,SeriesAInvestorSummary[Target Investment])</f>
        <v>2000000</v>
      </c>
      <c r="M86" s="65">
        <f ca="1">SUBTOTAL(109,SeriesAInvestorSummary[Existing Preferred Shares])</f>
        <v>370370</v>
      </c>
      <c r="N86" s="67">
        <f ca="1">SUBTOTAL(109,SeriesAInvestorSummary[New Money Shares])</f>
        <v>789483</v>
      </c>
      <c r="O86" s="68">
        <f ca="1">SUBTOTAL(109,SeriesAInvestorSummary[Actual Investment])</f>
        <v>1999997.28</v>
      </c>
      <c r="P86" s="69">
        <f ca="1">SUBTOTAL(109,SeriesAInvestorSummary[% FD (post-money)])</f>
        <v>0.24485625854862481</v>
      </c>
      <c r="Q86" s="69">
        <f ca="1">SUBTOTAL(109,SeriesAInvestorSummary[% of Preferred Stock])</f>
        <v>1</v>
      </c>
    </row>
    <row r="87" spans="2:17" x14ac:dyDescent="0.35">
      <c r="B87" s="32" t="s">
        <v>38</v>
      </c>
      <c r="C87" s="36">
        <f ca="1">ROUNDDOWN($C$84*$C$92,0)</f>
        <v>473687</v>
      </c>
      <c r="E87" s="32" t="s">
        <v>38</v>
      </c>
      <c r="F87" s="36">
        <f ca="1">ROUNDDOWN($F$84*$F$92,0)</f>
        <v>472968</v>
      </c>
      <c r="H87" s="32" t="s">
        <v>38</v>
      </c>
      <c r="I87" s="36">
        <f ca="1">ROUNDDOWN($I$84*$I$92,0)</f>
        <v>456825</v>
      </c>
    </row>
    <row r="88" spans="2:17" x14ac:dyDescent="0.35">
      <c r="B88" s="32" t="s">
        <v>36</v>
      </c>
      <c r="C88" s="37">
        <f ca="1">C87-C86</f>
        <v>243686</v>
      </c>
      <c r="E88" s="32" t="s">
        <v>36</v>
      </c>
      <c r="F88" s="37">
        <f ca="1">F87-F86</f>
        <v>242967</v>
      </c>
      <c r="H88" s="32" t="s">
        <v>36</v>
      </c>
      <c r="I88" s="37">
        <f ca="1">I87-I86</f>
        <v>226824</v>
      </c>
      <c r="K88" s="64" t="s">
        <v>127</v>
      </c>
    </row>
    <row r="89" spans="2:17" x14ac:dyDescent="0.35">
      <c r="B89" s="32" t="s">
        <v>60</v>
      </c>
      <c r="C89" s="36">
        <f ca="1">SUM(SimpleCapTableWithUnallocatedPool[[#Totals],[Total Stock (Fully Diluted)]],PostMoneySAFEWithValuationCap[[#Totals],[Number of Shares]],C88)</f>
        <v>3947389</v>
      </c>
      <c r="E89" s="32" t="s">
        <v>60</v>
      </c>
      <c r="F89" s="36">
        <f ca="1">SUM(SimpleCapTableWithUnallocatedPool[[#Totals],[Total Stock (Fully Diluted)]],ConvertibleNoteWithPreMoneyValuationCap[[#Totals],[Number of Shares]],F88)</f>
        <v>3941414</v>
      </c>
      <c r="H89" s="32" t="s">
        <v>60</v>
      </c>
      <c r="I89" s="36">
        <f ca="1">SUM(SimpleCapTableWithUnallocatedPool[[#Totals],[Total Stock (Fully Diluted)]],SAFEWithDiscount[[#Totals],[Number of Shares]],I88)</f>
        <v>3806875</v>
      </c>
    </row>
    <row r="90" spans="2:17" x14ac:dyDescent="0.35">
      <c r="B90" s="32" t="s">
        <v>29</v>
      </c>
      <c r="C90" s="38">
        <f ca="1">ROUND(C82/C89,4)</f>
        <v>2.5333000000000001</v>
      </c>
      <c r="E90" s="32" t="s">
        <v>29</v>
      </c>
      <c r="F90" s="38">
        <f ca="1">ROUND(F82/F89,4)</f>
        <v>2.5371999999999999</v>
      </c>
      <c r="H90" s="32" t="s">
        <v>29</v>
      </c>
      <c r="I90" s="38">
        <f ca="1">ROUND(I82/I89,4)</f>
        <v>2.6267999999999998</v>
      </c>
    </row>
    <row r="91" spans="2:17" x14ac:dyDescent="0.35">
      <c r="B91" s="32" t="s">
        <v>30</v>
      </c>
      <c r="C91" s="36">
        <f ca="1">ROUNDDOWN(C83/C90,0)</f>
        <v>789484</v>
      </c>
      <c r="E91" s="32" t="s">
        <v>30</v>
      </c>
      <c r="F91" s="36">
        <f ca="1">ROUNDDOWN(F83/F90,0)</f>
        <v>788270</v>
      </c>
      <c r="H91" s="32" t="s">
        <v>30</v>
      </c>
      <c r="I91" s="36">
        <f ca="1">ROUNDDOWN(I83/I90,0)</f>
        <v>761382</v>
      </c>
    </row>
    <row r="92" spans="2:17" x14ac:dyDescent="0.35">
      <c r="B92" s="32" t="s">
        <v>31</v>
      </c>
      <c r="C92" s="39">
        <f ca="1">SUM(C89,C91)</f>
        <v>4736873</v>
      </c>
      <c r="E92" s="32" t="s">
        <v>31</v>
      </c>
      <c r="F92" s="39">
        <f ca="1">SUM(F89,F91)</f>
        <v>4729684</v>
      </c>
      <c r="H92" s="32" t="s">
        <v>31</v>
      </c>
      <c r="I92" s="39">
        <f ca="1">SUM(I89,I91)</f>
        <v>4568257</v>
      </c>
    </row>
    <row r="93" spans="2:17" x14ac:dyDescent="0.35">
      <c r="B93" s="32" t="s">
        <v>57</v>
      </c>
      <c r="C93" s="50">
        <f ca="1">C90*C92</f>
        <v>11999920.370900001</v>
      </c>
      <c r="E93" s="32" t="s">
        <v>57</v>
      </c>
      <c r="F93" s="50">
        <f ca="1">F90*F92</f>
        <v>12000154.2448</v>
      </c>
      <c r="H93" s="32" t="s">
        <v>57</v>
      </c>
      <c r="I93" s="50">
        <f ca="1">I90*I92</f>
        <v>11999897.487599999</v>
      </c>
    </row>
    <row r="94" spans="2:17" x14ac:dyDescent="0.35">
      <c r="B94" s="51" t="s">
        <v>32</v>
      </c>
      <c r="C94" s="52">
        <f ca="1">C91/$C$92</f>
        <v>0.16666775740029341</v>
      </c>
      <c r="E94" s="51" t="s">
        <v>32</v>
      </c>
      <c r="F94" s="52">
        <f ca="1">F91/$F$92</f>
        <v>0.1666644114067663</v>
      </c>
      <c r="H94" s="51" t="s">
        <v>32</v>
      </c>
      <c r="I94" s="52">
        <f ca="1">I91/$I$92</f>
        <v>0.16666794359424175</v>
      </c>
    </row>
    <row r="95" spans="2:17" x14ac:dyDescent="0.35">
      <c r="B95" s="53" t="s">
        <v>33</v>
      </c>
      <c r="C95" s="54">
        <f ca="1">PostMoneySAFEWithValuationCap[[#Totals],[Number of Shares]]/$C$92</f>
        <v>7.8188712258065604E-2</v>
      </c>
      <c r="E95" s="53" t="s">
        <v>33</v>
      </c>
      <c r="F95" s="54">
        <f ca="1">ConvertibleNoteWithPreMoneyValuationCap[[#Totals],[Number of Shares]]/$F$92</f>
        <v>7.7196277806297425E-2</v>
      </c>
      <c r="H95" s="53" t="s">
        <v>33</v>
      </c>
      <c r="I95" s="54">
        <f ca="1">SAFEWithDiscount[[#Totals],[Number of Shares]]/$I$92</f>
        <v>5.4007031565868557E-2</v>
      </c>
    </row>
    <row r="96" spans="2:17" x14ac:dyDescent="0.35">
      <c r="B96" s="53" t="s">
        <v>34</v>
      </c>
      <c r="C96" s="55">
        <f ca="1">SimpleCapTableWithUnallocatedPool[[#Totals],[Common Stock]]/$C$92</f>
        <v>0.63332920261953407</v>
      </c>
      <c r="E96" s="53" t="s">
        <v>34</v>
      </c>
      <c r="F96" s="55">
        <f ca="1">SimpleCapTableWithAllocatedPool[[#Totals],[Common Stock]]/$F$92</f>
        <v>0.63429184698174335</v>
      </c>
      <c r="H96" s="53" t="s">
        <v>34</v>
      </c>
      <c r="I96" s="55">
        <f ca="1">SimpleCapTableWithAllocatedPool[[#Totals],[Common Stock]]/$I$92</f>
        <v>0.65670561003901484</v>
      </c>
    </row>
    <row r="97" spans="2:15" x14ac:dyDescent="0.35">
      <c r="B97" s="53" t="s">
        <v>35</v>
      </c>
      <c r="C97" s="54">
        <f ca="1">SUM(E48:E50)/$C$92</f>
        <v>2.1814391055027232E-2</v>
      </c>
      <c r="E97" s="53" t="s">
        <v>35</v>
      </c>
      <c r="F97" s="54">
        <f ca="1">SUM(E48:E50)/$F$92</f>
        <v>2.1847548377439168E-2</v>
      </c>
      <c r="H97" s="53" t="s">
        <v>35</v>
      </c>
      <c r="I97" s="54">
        <f ca="1">SUM(E48:E50)/$I$92</f>
        <v>2.2619568032183828E-2</v>
      </c>
    </row>
    <row r="98" spans="2:15" x14ac:dyDescent="0.35">
      <c r="B98" s="56" t="s">
        <v>40</v>
      </c>
      <c r="C98" s="57">
        <f ca="1">SUM(C86,C88)/$C$92</f>
        <v>9.9999936667079736E-2</v>
      </c>
      <c r="E98" s="56" t="s">
        <v>40</v>
      </c>
      <c r="F98" s="57">
        <f ca="1">SUM(F86,F88)/$F$92</f>
        <v>9.999991542775373E-2</v>
      </c>
      <c r="H98" s="56" t="s">
        <v>40</v>
      </c>
      <c r="I98" s="57">
        <f ca="1">SUM(I86,I88)/$I$92</f>
        <v>9.9999846768690989E-2</v>
      </c>
    </row>
    <row r="99" spans="2:15" x14ac:dyDescent="0.35">
      <c r="B99" s="40"/>
      <c r="C99" s="41">
        <f ca="1">SUM(C94:C98)</f>
        <v>1</v>
      </c>
      <c r="E99" s="40"/>
      <c r="F99" s="41">
        <f ca="1">SUM(F94:F98)</f>
        <v>1</v>
      </c>
      <c r="H99" s="40"/>
      <c r="I99" s="41">
        <f ca="1">SUM(I94:I98)</f>
        <v>1</v>
      </c>
    </row>
    <row r="102" spans="2:15" s="49" customFormat="1" ht="6" customHeight="1" x14ac:dyDescent="0.35"/>
    <row r="104" spans="2:15" ht="20" thickBot="1" x14ac:dyDescent="0.5">
      <c r="B104" s="135" t="s">
        <v>122</v>
      </c>
      <c r="C104" s="135"/>
      <c r="D104" s="135"/>
      <c r="E104" s="135"/>
    </row>
    <row r="105" spans="2:15" ht="15" thickTop="1" x14ac:dyDescent="0.35"/>
    <row r="106" spans="2:15" ht="43.5" x14ac:dyDescent="0.35">
      <c r="B106" s="5" t="s">
        <v>0</v>
      </c>
      <c r="C106" s="7" t="s">
        <v>2</v>
      </c>
      <c r="D106" s="7" t="s">
        <v>1</v>
      </c>
      <c r="E106" s="7" t="s">
        <v>3</v>
      </c>
      <c r="F106" s="7" t="s">
        <v>61</v>
      </c>
      <c r="G106" s="7" t="s">
        <v>62</v>
      </c>
      <c r="H106" s="7" t="s">
        <v>4</v>
      </c>
      <c r="I106" s="7" t="s">
        <v>5</v>
      </c>
      <c r="J106" s="7" t="s">
        <v>15</v>
      </c>
      <c r="K106" s="7" t="s">
        <v>16</v>
      </c>
      <c r="L106" s="82" t="s">
        <v>75</v>
      </c>
      <c r="M106" s="82" t="s">
        <v>89</v>
      </c>
      <c r="N106" s="82" t="s">
        <v>90</v>
      </c>
      <c r="O106" s="82" t="s">
        <v>84</v>
      </c>
    </row>
    <row r="107" spans="2:15" x14ac:dyDescent="0.35">
      <c r="B107" t="s">
        <v>6</v>
      </c>
      <c r="C107" s="2">
        <v>1000000</v>
      </c>
      <c r="D107" s="2">
        <v>0</v>
      </c>
      <c r="E107" s="2">
        <v>0</v>
      </c>
      <c r="F107" s="2">
        <v>0</v>
      </c>
      <c r="G107" s="2">
        <v>0</v>
      </c>
      <c r="H107" s="2">
        <f>SUM(CapTableParticipationRightsAndVoting[[#This Row],[Common Stock]:[Common Stock (Plan)]],CapTableParticipationRightsAndVoting[[#This Row],[Series A-1 Preferred Stock (New Money)]:[Series A-2 Preferred Stock (SAFE Conversion)]])</f>
        <v>1000000</v>
      </c>
      <c r="I107" s="2">
        <f>SUM(CapTableParticipationRightsAndVoting[[#This Row],[Common Stock]:[Series A-2 Preferred Stock (SAFE Conversion)]])</f>
        <v>1000000</v>
      </c>
      <c r="J107" s="4">
        <f ca="1">CapTableParticipationRightsAndVoting[[#This Row],[Total Stock (Outstanding)]]/CapTableParticipationRightsAndVoting[[#Totals],[Total Stock (Outstanding)]]</f>
        <v>0.24039311004499439</v>
      </c>
      <c r="K107" s="4">
        <f ca="1">CapTableParticipationRightsAndVoting[[#This Row],[Total Stock (Fully Diluted)]]/CapTableParticipationRightsAndVoting[[#Totals],[Total Stock (Fully Diluted)]]</f>
        <v>0.21110977877384063</v>
      </c>
      <c r="L107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07" s="2">
        <f>SUM(CapTableParticipationRightsAndVoting[[#This Row],[Series A-1 Preferred Stock (New Money)]:[Series A-2 Preferred Stock (SAFE Conversion)]])</f>
        <v>0</v>
      </c>
      <c r="N107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07" s="81" t="s">
        <v>88</v>
      </c>
    </row>
    <row r="108" spans="2:15" x14ac:dyDescent="0.35">
      <c r="B108" t="s">
        <v>7</v>
      </c>
      <c r="C108" s="2">
        <v>1000000</v>
      </c>
      <c r="D108" s="2">
        <v>0</v>
      </c>
      <c r="E108" s="2">
        <v>0</v>
      </c>
      <c r="F108" s="2">
        <v>0</v>
      </c>
      <c r="G108" s="2">
        <v>0</v>
      </c>
      <c r="H108" s="2">
        <f>SUM(CapTableParticipationRightsAndVoting[[#This Row],[Common Stock]:[Common Stock (Plan)]],CapTableParticipationRightsAndVoting[[#This Row],[Series A-1 Preferred Stock (New Money)]:[Series A-2 Preferred Stock (SAFE Conversion)]])</f>
        <v>1000000</v>
      </c>
      <c r="I108" s="2">
        <f>SUM(CapTableParticipationRightsAndVoting[[#This Row],[Common Stock]:[Series A-2 Preferred Stock (SAFE Conversion)]])</f>
        <v>1000000</v>
      </c>
      <c r="J108" s="4">
        <f ca="1">CapTableParticipationRightsAndVoting[[#This Row],[Total Stock (Outstanding)]]/CapTableParticipationRightsAndVoting[[#Totals],[Total Stock (Outstanding)]]</f>
        <v>0.24039311004499439</v>
      </c>
      <c r="K108" s="4">
        <f ca="1">CapTableParticipationRightsAndVoting[[#This Row],[Total Stock (Fully Diluted)]]/CapTableParticipationRightsAndVoting[[#Totals],[Total Stock (Fully Diluted)]]</f>
        <v>0.21110977877384063</v>
      </c>
      <c r="L108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08" s="2">
        <f>SUM(CapTableParticipationRightsAndVoting[[#This Row],[Series A-1 Preferred Stock (New Money)]:[Series A-2 Preferred Stock (SAFE Conversion)]])</f>
        <v>0</v>
      </c>
      <c r="N108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08" s="81"/>
    </row>
    <row r="109" spans="2:15" x14ac:dyDescent="0.35">
      <c r="B109" t="s">
        <v>8</v>
      </c>
      <c r="C109" s="2">
        <v>500000</v>
      </c>
      <c r="D109" s="2">
        <v>0</v>
      </c>
      <c r="E109" s="2">
        <v>0</v>
      </c>
      <c r="F109" s="2">
        <v>0</v>
      </c>
      <c r="G109" s="2">
        <v>0</v>
      </c>
      <c r="H109" s="2">
        <f>SUM(CapTableParticipationRightsAndVoting[[#This Row],[Common Stock]:[Common Stock (Plan)]],CapTableParticipationRightsAndVoting[[#This Row],[Series A-1 Preferred Stock (New Money)]:[Series A-2 Preferred Stock (SAFE Conversion)]])</f>
        <v>500000</v>
      </c>
      <c r="I109" s="2">
        <f>SUM(CapTableParticipationRightsAndVoting[[#This Row],[Common Stock]:[Series A-2 Preferred Stock (SAFE Conversion)]])</f>
        <v>500000</v>
      </c>
      <c r="J109" s="4">
        <f ca="1">CapTableParticipationRightsAndVoting[[#This Row],[Total Stock (Outstanding)]]/CapTableParticipationRightsAndVoting[[#Totals],[Total Stock (Outstanding)]]</f>
        <v>0.1201965550224972</v>
      </c>
      <c r="K109" s="4">
        <f ca="1">CapTableParticipationRightsAndVoting[[#This Row],[Total Stock (Fully Diluted)]]/CapTableParticipationRightsAndVoting[[#Totals],[Total Stock (Fully Diluted)]]</f>
        <v>0.10555488938692031</v>
      </c>
      <c r="L109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09" s="2">
        <f>SUM(CapTableParticipationRightsAndVoting[[#This Row],[Series A-1 Preferred Stock (New Money)]:[Series A-2 Preferred Stock (SAFE Conversion)]])</f>
        <v>0</v>
      </c>
      <c r="N109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09" s="81"/>
    </row>
    <row r="110" spans="2:15" x14ac:dyDescent="0.35">
      <c r="B110" t="s">
        <v>9</v>
      </c>
      <c r="C110" s="2">
        <v>250000</v>
      </c>
      <c r="D110" s="2">
        <v>0</v>
      </c>
      <c r="E110" s="2">
        <v>0</v>
      </c>
      <c r="F110" s="2">
        <v>0</v>
      </c>
      <c r="G110" s="2">
        <v>0</v>
      </c>
      <c r="H110" s="2">
        <f>SUM(CapTableParticipationRightsAndVoting[[#This Row],[Common Stock]:[Common Stock (Plan)]],CapTableParticipationRightsAndVoting[[#This Row],[Series A-1 Preferred Stock (New Money)]:[Series A-2 Preferred Stock (SAFE Conversion)]])</f>
        <v>250000</v>
      </c>
      <c r="I110" s="2">
        <f>SUM(CapTableParticipationRightsAndVoting[[#This Row],[Common Stock]:[Series A-2 Preferred Stock (SAFE Conversion)]])</f>
        <v>250000</v>
      </c>
      <c r="J110" s="4">
        <f ca="1">CapTableParticipationRightsAndVoting[[#This Row],[Total Stock (Outstanding)]]/CapTableParticipationRightsAndVoting[[#Totals],[Total Stock (Outstanding)]]</f>
        <v>6.0098277511248598E-2</v>
      </c>
      <c r="K110" s="4">
        <f ca="1">CapTableParticipationRightsAndVoting[[#This Row],[Total Stock (Fully Diluted)]]/CapTableParticipationRightsAndVoting[[#Totals],[Total Stock (Fully Diluted)]]</f>
        <v>5.2777444693460157E-2</v>
      </c>
      <c r="L110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0" s="2">
        <f>SUM(CapTableParticipationRightsAndVoting[[#This Row],[Series A-1 Preferred Stock (New Money)]:[Series A-2 Preferred Stock (SAFE Conversion)]])</f>
        <v>0</v>
      </c>
      <c r="N110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0" s="81"/>
    </row>
    <row r="111" spans="2:15" x14ac:dyDescent="0.35">
      <c r="B111" t="s">
        <v>10</v>
      </c>
      <c r="C111" s="2">
        <v>250000</v>
      </c>
      <c r="D111" s="2">
        <v>0</v>
      </c>
      <c r="E111" s="2">
        <v>0</v>
      </c>
      <c r="F111" s="2">
        <v>0</v>
      </c>
      <c r="G111" s="2">
        <v>0</v>
      </c>
      <c r="H111" s="2">
        <f>SUM(CapTableParticipationRightsAndVoting[[#This Row],[Common Stock]:[Common Stock (Plan)]],CapTableParticipationRightsAndVoting[[#This Row],[Series A-1 Preferred Stock (New Money)]:[Series A-2 Preferred Stock (SAFE Conversion)]])</f>
        <v>250000</v>
      </c>
      <c r="I111" s="2">
        <f>SUM(CapTableParticipationRightsAndVoting[[#This Row],[Common Stock]:[Series A-2 Preferred Stock (SAFE Conversion)]])</f>
        <v>250000</v>
      </c>
      <c r="J111" s="4">
        <f ca="1">CapTableParticipationRightsAndVoting[[#This Row],[Total Stock (Outstanding)]]/CapTableParticipationRightsAndVoting[[#Totals],[Total Stock (Outstanding)]]</f>
        <v>6.0098277511248598E-2</v>
      </c>
      <c r="K111" s="4">
        <f ca="1">CapTableParticipationRightsAndVoting[[#This Row],[Total Stock (Fully Diluted)]]/CapTableParticipationRightsAndVoting[[#Totals],[Total Stock (Fully Diluted)]]</f>
        <v>5.2777444693460157E-2</v>
      </c>
      <c r="L111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1" s="2">
        <f>SUM(CapTableParticipationRightsAndVoting[[#This Row],[Series A-1 Preferred Stock (New Money)]:[Series A-2 Preferred Stock (SAFE Conversion)]])</f>
        <v>0</v>
      </c>
      <c r="N111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1" s="81"/>
    </row>
    <row r="112" spans="2:15" x14ac:dyDescent="0.35">
      <c r="B112" s="62" t="s">
        <v>11</v>
      </c>
      <c r="C112" s="2">
        <v>0</v>
      </c>
      <c r="D112" s="2">
        <v>0</v>
      </c>
      <c r="E112" s="2">
        <v>66666</v>
      </c>
      <c r="F112" s="2">
        <v>0</v>
      </c>
      <c r="G112" s="2">
        <v>0</v>
      </c>
      <c r="H112" s="2">
        <f>SUM(CapTableParticipationRightsAndVoting[[#This Row],[Common Stock]:[Common Stock (Plan)]],CapTableParticipationRightsAndVoting[[#This Row],[Series A-1 Preferred Stock (New Money)]:[Series A-2 Preferred Stock (SAFE Conversion)]])</f>
        <v>0</v>
      </c>
      <c r="I112" s="2">
        <f>SUM(CapTableParticipationRightsAndVoting[[#This Row],[Common Stock]:[Series A-2 Preferred Stock (SAFE Conversion)]])</f>
        <v>66666</v>
      </c>
      <c r="J112" s="4">
        <f ca="1">CapTableParticipationRightsAndVoting[[#This Row],[Total Stock (Outstanding)]]/CapTableParticipationRightsAndVoting[[#Totals],[Total Stock (Outstanding)]]</f>
        <v>0</v>
      </c>
      <c r="K112" s="4">
        <f ca="1">CapTableParticipationRightsAndVoting[[#This Row],[Total Stock (Fully Diluted)]]/CapTableParticipationRightsAndVoting[[#Totals],[Total Stock (Fully Diluted)]]</f>
        <v>1.407384451173686E-2</v>
      </c>
      <c r="L112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2" s="2">
        <f>SUM(CapTableParticipationRightsAndVoting[[#This Row],[Series A-1 Preferred Stock (New Money)]:[Series A-2 Preferred Stock (SAFE Conversion)]])</f>
        <v>0</v>
      </c>
      <c r="N112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2" s="81"/>
    </row>
    <row r="113" spans="2:15" x14ac:dyDescent="0.35">
      <c r="B113" s="62" t="s">
        <v>12</v>
      </c>
      <c r="C113" s="2">
        <v>0</v>
      </c>
      <c r="D113" s="2">
        <v>0</v>
      </c>
      <c r="E113" s="2">
        <v>33333</v>
      </c>
      <c r="F113" s="2">
        <v>0</v>
      </c>
      <c r="G113" s="2">
        <v>0</v>
      </c>
      <c r="H113" s="2">
        <f>SUM(CapTableParticipationRightsAndVoting[[#This Row],[Common Stock]:[Common Stock (Plan)]],CapTableParticipationRightsAndVoting[[#This Row],[Series A-1 Preferred Stock (New Money)]:[Series A-2 Preferred Stock (SAFE Conversion)]])</f>
        <v>0</v>
      </c>
      <c r="I113" s="2">
        <f>SUM(CapTableParticipationRightsAndVoting[[#This Row],[Common Stock]:[Series A-2 Preferred Stock (SAFE Conversion)]])</f>
        <v>33333</v>
      </c>
      <c r="J113" s="4">
        <f ca="1">CapTableParticipationRightsAndVoting[[#This Row],[Total Stock (Outstanding)]]/CapTableParticipationRightsAndVoting[[#Totals],[Total Stock (Outstanding)]]</f>
        <v>0</v>
      </c>
      <c r="K113" s="4">
        <f ca="1">CapTableParticipationRightsAndVoting[[#This Row],[Total Stock (Fully Diluted)]]/CapTableParticipationRightsAndVoting[[#Totals],[Total Stock (Fully Diluted)]]</f>
        <v>7.0369222558684299E-3</v>
      </c>
      <c r="L113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3" s="2">
        <f>SUM(CapTableParticipationRightsAndVoting[[#This Row],[Series A-1 Preferred Stock (New Money)]:[Series A-2 Preferred Stock (SAFE Conversion)]])</f>
        <v>0</v>
      </c>
      <c r="N113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3" s="81"/>
    </row>
    <row r="114" spans="2:15" x14ac:dyDescent="0.35">
      <c r="B114" s="62" t="s">
        <v>13</v>
      </c>
      <c r="C114" s="2">
        <v>0</v>
      </c>
      <c r="D114" s="2">
        <v>0</v>
      </c>
      <c r="E114" s="2">
        <v>3333</v>
      </c>
      <c r="F114" s="2">
        <v>0</v>
      </c>
      <c r="G114" s="2">
        <v>0</v>
      </c>
      <c r="H114" s="2">
        <f>SUM(CapTableParticipationRightsAndVoting[[#This Row],[Common Stock]:[Common Stock (Plan)]],CapTableParticipationRightsAndVoting[[#This Row],[Series A-1 Preferred Stock (New Money)]:[Series A-2 Preferred Stock (SAFE Conversion)]])</f>
        <v>0</v>
      </c>
      <c r="I114" s="2">
        <f>SUM(CapTableParticipationRightsAndVoting[[#This Row],[Common Stock]:[Series A-2 Preferred Stock (SAFE Conversion)]])</f>
        <v>3333</v>
      </c>
      <c r="J114" s="4">
        <f ca="1">CapTableParticipationRightsAndVoting[[#This Row],[Total Stock (Outstanding)]]/CapTableParticipationRightsAndVoting[[#Totals],[Total Stock (Outstanding)]]</f>
        <v>0</v>
      </c>
      <c r="K114" s="4">
        <f ca="1">CapTableParticipationRightsAndVoting[[#This Row],[Total Stock (Fully Diluted)]]/CapTableParticipationRightsAndVoting[[#Totals],[Total Stock (Fully Diluted)]]</f>
        <v>7.0362889265321077E-4</v>
      </c>
      <c r="L114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4" s="2">
        <f>SUM(CapTableParticipationRightsAndVoting[[#This Row],[Series A-1 Preferred Stock (New Money)]:[Series A-2 Preferred Stock (SAFE Conversion)]])</f>
        <v>0</v>
      </c>
      <c r="N114" s="2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4" s="81"/>
    </row>
    <row r="115" spans="2:15" x14ac:dyDescent="0.35">
      <c r="B115" s="127" t="s">
        <v>63</v>
      </c>
      <c r="C115" s="128">
        <v>0</v>
      </c>
      <c r="D115" s="128">
        <v>0</v>
      </c>
      <c r="E115" s="128">
        <f ca="1">C121-SUM(D107:E114)</f>
        <v>473687</v>
      </c>
      <c r="F115" s="128">
        <v>0</v>
      </c>
      <c r="G115" s="128">
        <v>0</v>
      </c>
      <c r="H115" s="128">
        <f>SUM(CapTableParticipationRightsAndVoting[[#This Row],[Common Stock]:[Common Stock (Plan)]],CapTableParticipationRightsAndVoting[[#This Row],[Series A-1 Preferred Stock (New Money)]:[Series A-2 Preferred Stock (SAFE Conversion)]])</f>
        <v>0</v>
      </c>
      <c r="I115" s="128">
        <f ca="1">SUM(CapTableParticipationRightsAndVoting[[#This Row],[Common Stock]:[Series A-2 Preferred Stock (SAFE Conversion)]])</f>
        <v>473687</v>
      </c>
      <c r="J115" s="129">
        <f ca="1">CapTableParticipationRightsAndVoting[[#This Row],[Total Stock (Outstanding)]]/CapTableParticipationRightsAndVoting[[#Totals],[Total Stock (Outstanding)]]</f>
        <v>0</v>
      </c>
      <c r="K115" s="129">
        <f ca="1">CapTableParticipationRightsAndVoting[[#This Row],[Total Stock (Fully Diluted)]]/CapTableParticipationRightsAndVoting[[#Totals],[Total Stock (Fully Diluted)]]</f>
        <v>9.9999957778044241E-2</v>
      </c>
      <c r="L115" s="81" t="str">
        <f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n/a</v>
      </c>
      <c r="M115" s="130">
        <f>SUM(CapTableParticipationRightsAndVoting[[#This Row],[Series A-1 Preferred Stock (New Money)]:[Series A-2 Preferred Stock (SAFE Conversion)]])</f>
        <v>0</v>
      </c>
      <c r="N115" s="130">
        <f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5" s="131"/>
    </row>
    <row r="116" spans="2:15" x14ac:dyDescent="0.35">
      <c r="B116" t="s">
        <v>21</v>
      </c>
      <c r="C116" s="2">
        <v>0</v>
      </c>
      <c r="D116" s="2">
        <v>0</v>
      </c>
      <c r="E116" s="2">
        <v>0</v>
      </c>
      <c r="F116" s="2">
        <f ca="1">N84</f>
        <v>78948</v>
      </c>
      <c r="G116" s="2">
        <f ca="1">PostMoneySAFEWithValuationCap[Number of Shares]</f>
        <v>370370</v>
      </c>
      <c r="H116" s="2">
        <f ca="1">SUM(CapTableParticipationRightsAndVoting[[#This Row],[Common Stock]:[Common Stock (Plan)]],CapTableParticipationRightsAndVoting[[#This Row],[Series A-1 Preferred Stock (New Money)]:[Series A-2 Preferred Stock (SAFE Conversion)]])</f>
        <v>449318</v>
      </c>
      <c r="I116" s="2">
        <f ca="1">SUM(CapTableParticipationRightsAndVoting[[#This Row],[Common Stock]:[Series A-2 Preferred Stock (SAFE Conversion)]])</f>
        <v>449318</v>
      </c>
      <c r="J116" s="4">
        <f ca="1">CapTableParticipationRightsAndVoting[[#This Row],[Total Stock (Outstanding)]]/CapTableParticipationRightsAndVoting[[#Totals],[Total Stock (Outstanding)]]</f>
        <v>0.10801295141919678</v>
      </c>
      <c r="K116" s="4">
        <f ca="1">CapTableParticipationRightsAndVoting[[#This Row],[Total Stock (Fully Diluted)]]/CapTableParticipationRightsAndVoting[[#Totals],[Total Stock (Fully Diluted)]]</f>
        <v>9.4855423579104522E-2</v>
      </c>
      <c r="L116" s="81" t="b">
        <f ca="1"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1</v>
      </c>
      <c r="M116" s="2">
        <f ca="1">SUM(CapTableParticipationRightsAndVoting[[#This Row],[Series A-1 Preferred Stock (New Money)]:[Series A-2 Preferred Stock (SAFE Conversion)]])</f>
        <v>449318</v>
      </c>
      <c r="N116" s="2">
        <f ca="1"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449318</v>
      </c>
      <c r="O116" s="81"/>
    </row>
    <row r="117" spans="2:15" x14ac:dyDescent="0.35">
      <c r="B117" t="s">
        <v>65</v>
      </c>
      <c r="C117" s="2">
        <v>0</v>
      </c>
      <c r="D117" s="2">
        <v>0</v>
      </c>
      <c r="E117" s="2">
        <v>0</v>
      </c>
      <c r="F117" s="2">
        <f ca="1">N82</f>
        <v>592113</v>
      </c>
      <c r="G117" s="2">
        <v>0</v>
      </c>
      <c r="H117" s="2">
        <f ca="1">SUM(CapTableParticipationRightsAndVoting[[#This Row],[Common Stock]:[Common Stock (Plan)]],CapTableParticipationRightsAndVoting[[#This Row],[Series A-1 Preferred Stock (New Money)]:[Series A-2 Preferred Stock (SAFE Conversion)]])</f>
        <v>592113</v>
      </c>
      <c r="I117" s="2">
        <f ca="1">SUM(CapTableParticipationRightsAndVoting[[#This Row],[Common Stock]:[Series A-2 Preferred Stock (SAFE Conversion)]])</f>
        <v>592113</v>
      </c>
      <c r="J117" s="4">
        <f ca="1">CapTableParticipationRightsAndVoting[[#This Row],[Total Stock (Outstanding)]]/CapTableParticipationRightsAndVoting[[#Totals],[Total Stock (Outstanding)]]</f>
        <v>0.14233988556807176</v>
      </c>
      <c r="K117" s="4">
        <f ca="1">CapTableParticipationRightsAndVoting[[#This Row],[Total Stock (Fully Diluted)]]/CapTableParticipationRightsAndVoting[[#Totals],[Total Stock (Fully Diluted)]]</f>
        <v>0.12500084443911511</v>
      </c>
      <c r="L117" s="81" t="b">
        <f ca="1"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1</v>
      </c>
      <c r="M117" s="2">
        <f ca="1">SUM(CapTableParticipationRightsAndVoting[[#This Row],[Series A-1 Preferred Stock (New Money)]:[Series A-2 Preferred Stock (SAFE Conversion)]])</f>
        <v>592113</v>
      </c>
      <c r="N117" s="2">
        <f ca="1"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592113</v>
      </c>
      <c r="O117" s="81" t="s">
        <v>88</v>
      </c>
    </row>
    <row r="118" spans="2:15" x14ac:dyDescent="0.35">
      <c r="B118" t="s">
        <v>66</v>
      </c>
      <c r="C118" s="2">
        <v>0</v>
      </c>
      <c r="D118" s="2">
        <v>0</v>
      </c>
      <c r="E118" s="2">
        <v>0</v>
      </c>
      <c r="F118" s="2">
        <f ca="1">N83</f>
        <v>118422</v>
      </c>
      <c r="G118" s="2">
        <v>0</v>
      </c>
      <c r="H118" s="2">
        <f ca="1">SUM(CapTableParticipationRightsAndVoting[[#This Row],[Common Stock]:[Common Stock (Plan)]],CapTableParticipationRightsAndVoting[[#This Row],[Series A-1 Preferred Stock (New Money)]:[Series A-2 Preferred Stock (SAFE Conversion)]])</f>
        <v>118422</v>
      </c>
      <c r="I118" s="2">
        <f ca="1">SUM(CapTableParticipationRightsAndVoting[[#This Row],[Common Stock]:[Series A-2 Preferred Stock (SAFE Conversion)]])</f>
        <v>118422</v>
      </c>
      <c r="J118" s="4">
        <f ca="1">CapTableParticipationRightsAndVoting[[#This Row],[Total Stock (Outstanding)]]/CapTableParticipationRightsAndVoting[[#Totals],[Total Stock (Outstanding)]]</f>
        <v>2.8467832877748324E-2</v>
      </c>
      <c r="K118" s="4">
        <f ca="1">CapTableParticipationRightsAndVoting[[#This Row],[Total Stock (Fully Diluted)]]/CapTableParticipationRightsAndVoting[[#Totals],[Total Stock (Fully Diluted)]]</f>
        <v>2.5000042221955756E-2</v>
      </c>
      <c r="L118" s="81" t="b">
        <f ca="1">IF(AND(CapTableParticipationRightsAndVoting[[#This Row],[Series A-1 Preferred Stock (New Money)]]=0,CapTableParticipationRightsAndVoting[[#This Row],[Series A-2 Preferred Stock (SAFE Conversion)]]=0),"n/a",SUM(CapTableParticipationRightsAndVoting[[#This Row],[Series A-1 Preferred Stock (New Money)]]*$I$121,CapTableParticipationRightsAndVoting[[#This Row],[Series A-2 Preferred Stock (SAFE Conversion)]]*$I$122)&gt;=$I$123)</f>
        <v>0</v>
      </c>
      <c r="M118" s="2">
        <f ca="1">SUM(CapTableParticipationRightsAndVoting[[#This Row],[Series A-1 Preferred Stock (New Money)]:[Series A-2 Preferred Stock (SAFE Conversion)]])</f>
        <v>118422</v>
      </c>
      <c r="N118" s="2">
        <f ca="1">IF(CapTableParticipationRightsAndVoting[[#This Row],[Major Investor?]]=TRUE,SUM(CapTableParticipationRightsAndVoting[[#This Row],[Total Preferred Stock]],CapTableParticipationRightsAndVoting[[#This Row],[Common Stock]],CapTableParticipationRightsAndVoting[[#This Row],[Common Stock (Plan)]]),0)</f>
        <v>0</v>
      </c>
      <c r="O118" s="81"/>
    </row>
    <row r="119" spans="2:15" x14ac:dyDescent="0.35">
      <c r="B119" t="s">
        <v>14</v>
      </c>
      <c r="C119" s="3">
        <f>SUBTOTAL(109,CapTableParticipationRightsAndVoting[Common Stock])</f>
        <v>3000000</v>
      </c>
      <c r="D119" s="3">
        <f>SUBTOTAL(109,CapTableParticipationRightsAndVoting[Common Stock (Plan)])</f>
        <v>0</v>
      </c>
      <c r="E119" s="3">
        <f ca="1">SUBTOTAL(109,CapTableParticipationRightsAndVoting[Options (Plan)])</f>
        <v>577019</v>
      </c>
      <c r="F119" s="3">
        <f ca="1">SUBTOTAL(109,CapTableParticipationRightsAndVoting[Series A-1 Preferred Stock (New Money)])</f>
        <v>789483</v>
      </c>
      <c r="G119" s="3">
        <f ca="1">SUBTOTAL(109,CapTableParticipationRightsAndVoting[Series A-2 Preferred Stock (SAFE Conversion)])</f>
        <v>370370</v>
      </c>
      <c r="H119" s="3">
        <f ca="1">SUBTOTAL(109,CapTableParticipationRightsAndVoting[Total Stock (Outstanding)])</f>
        <v>4159853</v>
      </c>
      <c r="I119" s="3">
        <f ca="1">SUBTOTAL(109,CapTableParticipationRightsAndVoting[Total Stock (Fully Diluted)])</f>
        <v>4736872</v>
      </c>
      <c r="J119" s="42">
        <f ca="1">SUBTOTAL(109,CapTableParticipationRightsAndVoting[% Outstanding])</f>
        <v>1</v>
      </c>
      <c r="K119" s="42">
        <f ca="1">SUBTOTAL(109,CapTableParticipationRightsAndVoting[% Fully Diluted])</f>
        <v>0.99999999999999978</v>
      </c>
      <c r="L119"/>
      <c r="M119" s="67">
        <f ca="1">SUBTOTAL(109,CapTableParticipationRightsAndVoting[Total Preferred Stock])</f>
        <v>1159853</v>
      </c>
      <c r="N119" s="3">
        <f ca="1">SUBTOTAL(109,CapTableParticipationRightsAndVoting[Total Shares Held by Major Investors])</f>
        <v>1041431</v>
      </c>
      <c r="O119"/>
    </row>
    <row r="121" spans="2:15" x14ac:dyDescent="0.35">
      <c r="B121" s="10" t="s">
        <v>17</v>
      </c>
      <c r="C121" s="8">
        <f ca="1">SUM(C54,C88)</f>
        <v>577019</v>
      </c>
      <c r="E121" s="10" t="s">
        <v>18</v>
      </c>
      <c r="F121" s="13">
        <v>0.01</v>
      </c>
      <c r="H121" s="73" t="s">
        <v>76</v>
      </c>
      <c r="I121" s="74">
        <f ca="1">$C$90</f>
        <v>2.5333000000000001</v>
      </c>
      <c r="M121" s="83" t="s">
        <v>85</v>
      </c>
      <c r="N121" s="84" t="b">
        <f ca="1">SUMIF(CapTableParticipationRightsAndVoting[Voting (Y/N)], "Y", CapTableParticipationRightsAndVoting[Total Stock (Outstanding)]) &gt; CapTableParticipationRightsAndVoting[[#Totals],[Total Stock (Outstanding)]] / 2</f>
        <v>0</v>
      </c>
    </row>
    <row r="122" spans="2:15" x14ac:dyDescent="0.35">
      <c r="B122" s="70" t="s">
        <v>16</v>
      </c>
      <c r="C122" s="71">
        <f ca="1">C121/CapTableParticipationRightsAndVoting[[#Totals],[Total Stock (Fully Diluted)]]</f>
        <v>0.12181435343830274</v>
      </c>
      <c r="E122" s="11" t="s">
        <v>19</v>
      </c>
      <c r="F122" s="12">
        <f ca="1">ROUNDDOWN($F$54*CapTableParticipationRightsAndVoting[[#Totals],[Total Stock (Fully Diluted)]],0)</f>
        <v>47368</v>
      </c>
      <c r="H122" s="75" t="s">
        <v>77</v>
      </c>
      <c r="I122" s="76">
        <f ca="1">PostMoneySAFEWithValuationCap[Conversion Price]</f>
        <v>1.35</v>
      </c>
      <c r="M122" s="85" t="s">
        <v>86</v>
      </c>
      <c r="N122" s="86" t="b">
        <f ca="1">SUMIF(CapTableParticipationRightsAndVoting[Voting (Y/N)], "Y", CapTableParticipationRightsAndVoting[Total Preferred Stock]) &gt; CapTableParticipationRightsAndVoting[[#Totals],[Total Preferred Stock]] / 2</f>
        <v>1</v>
      </c>
    </row>
    <row r="123" spans="2:15" x14ac:dyDescent="0.35">
      <c r="B123" s="11" t="s">
        <v>74</v>
      </c>
      <c r="C123" s="9">
        <f ca="1">E115/CapTableParticipationRightsAndVoting[[#Totals],[Total Stock (Fully Diluted)]]</f>
        <v>9.9999957778044241E-2</v>
      </c>
      <c r="H123" s="72" t="s">
        <v>78</v>
      </c>
      <c r="I123" s="77">
        <v>300000</v>
      </c>
      <c r="M123" s="87" t="s">
        <v>87</v>
      </c>
      <c r="N123" s="88" t="b">
        <f ca="1">SUMIF(CapTableParticipationRightsAndVoting[Voting (Y/N)], "Y", CapTableParticipationRightsAndVoting[Total Shares Held by Major Investors]) &gt; CapTableParticipationRightsAndVoting[[#Totals],[Total Shares Held by Major Investors]] / 2</f>
        <v>1</v>
      </c>
    </row>
    <row r="126" spans="2:15" x14ac:dyDescent="0.35">
      <c r="B126" s="78" t="s">
        <v>83</v>
      </c>
      <c r="C126" s="79">
        <v>10000000</v>
      </c>
    </row>
    <row r="127" spans="2:15" x14ac:dyDescent="0.35">
      <c r="B127" s="40" t="s">
        <v>82</v>
      </c>
      <c r="C127" s="80">
        <f ca="1">$C$126-ParticipationRightsTable[[#Totals],[Amount of Series B]]</f>
        <v>7557152.6921773273</v>
      </c>
    </row>
    <row r="129" spans="2:14" x14ac:dyDescent="0.35">
      <c r="B129" t="s">
        <v>79</v>
      </c>
      <c r="C129" t="s">
        <v>80</v>
      </c>
      <c r="D129" t="s">
        <v>81</v>
      </c>
    </row>
    <row r="130" spans="2:14" x14ac:dyDescent="0.35">
      <c r="B130" t="s">
        <v>21</v>
      </c>
      <c r="C130" s="4">
        <f ca="1">H116/(CapTableParticipationRightsAndVoting[[#Totals],[Total Stock (Fully Diluted)]]-$I$115)</f>
        <v>0.10539491014347255</v>
      </c>
      <c r="D130" s="63">
        <f ca="1">ParticipationRightsTable[[#This Row],[Pro Rata %]]*$C$126</f>
        <v>1053949.1014347256</v>
      </c>
    </row>
    <row r="131" spans="2:14" x14ac:dyDescent="0.35">
      <c r="B131" t="s">
        <v>65</v>
      </c>
      <c r="C131" s="4">
        <f ca="1">H117/(CapTableParticipationRightsAndVoting[[#Totals],[Total Stock (Fully Diluted)]]-$I$115)</f>
        <v>0.13888982063879471</v>
      </c>
      <c r="D131" s="63">
        <f ca="1">ParticipationRightsTable[[#This Row],[Pro Rata %]]*$C$126</f>
        <v>1388898.2063879471</v>
      </c>
    </row>
    <row r="132" spans="2:14" x14ac:dyDescent="0.35">
      <c r="B132" t="s">
        <v>14</v>
      </c>
      <c r="C132" s="69">
        <f ca="1">SUBTOTAL(109,ParticipationRightsTable[Pro Rata %])</f>
        <v>0.24428473078226726</v>
      </c>
      <c r="D132" s="63">
        <f ca="1">SUBTOTAL(109,ParticipationRightsTable[Amount of Series B])</f>
        <v>2442847.3078226727</v>
      </c>
    </row>
    <row r="135" spans="2:14" s="49" customFormat="1" ht="6" customHeight="1" x14ac:dyDescent="0.35"/>
    <row r="137" spans="2:14" ht="20" thickBot="1" x14ac:dyDescent="0.5">
      <c r="B137" s="135" t="s">
        <v>123</v>
      </c>
      <c r="C137" s="135"/>
      <c r="D137" s="135"/>
    </row>
    <row r="138" spans="2:14" ht="15" thickTop="1" x14ac:dyDescent="0.35"/>
    <row r="139" spans="2:14" ht="17.5" thickBot="1" x14ac:dyDescent="0.45">
      <c r="B139" s="136" t="s">
        <v>117</v>
      </c>
      <c r="E139" s="136" t="s">
        <v>118</v>
      </c>
    </row>
    <row r="140" spans="2:14" ht="15" thickTop="1" x14ac:dyDescent="0.35">
      <c r="B140" s="48" t="s">
        <v>97</v>
      </c>
      <c r="C140" s="43"/>
      <c r="E140" s="90" t="s">
        <v>100</v>
      </c>
      <c r="F140" s="90"/>
      <c r="G140" s="90"/>
      <c r="H140" s="90"/>
      <c r="I140" s="90"/>
      <c r="J140" s="90"/>
      <c r="K140" s="91" t="s">
        <v>95</v>
      </c>
      <c r="L140" s="91" t="s">
        <v>96</v>
      </c>
    </row>
    <row r="141" spans="2:14" x14ac:dyDescent="0.35">
      <c r="B141" s="32" t="s">
        <v>27</v>
      </c>
      <c r="C141" s="33">
        <v>8000000</v>
      </c>
      <c r="E141" s="1" t="s">
        <v>101</v>
      </c>
      <c r="K141" s="89">
        <f ca="1">$C$90</f>
        <v>2.5333000000000001</v>
      </c>
      <c r="L141" s="93" t="s">
        <v>106</v>
      </c>
      <c r="N141" s="107"/>
    </row>
    <row r="142" spans="2:14" x14ac:dyDescent="0.35">
      <c r="B142" s="32" t="s">
        <v>28</v>
      </c>
      <c r="C142" s="33">
        <v>2000000</v>
      </c>
      <c r="E142" s="1" t="s">
        <v>105</v>
      </c>
      <c r="K142" s="20">
        <f ca="1">CapTableParticipationRightsAndVoting[[#Totals],[Total Stock (Fully Diluted)]]-$E$115</f>
        <v>4263185</v>
      </c>
      <c r="L142" s="93" t="s">
        <v>107</v>
      </c>
    </row>
    <row r="143" spans="2:14" x14ac:dyDescent="0.35">
      <c r="B143" s="32" t="s">
        <v>39</v>
      </c>
      <c r="C143" s="34">
        <v>0.1</v>
      </c>
      <c r="E143" s="1" t="s">
        <v>93</v>
      </c>
      <c r="K143" s="20">
        <f ca="1">$C$149</f>
        <v>1238083</v>
      </c>
      <c r="L143" s="93" t="s">
        <v>108</v>
      </c>
    </row>
    <row r="144" spans="2:14" x14ac:dyDescent="0.35">
      <c r="B144" s="32" t="s">
        <v>37</v>
      </c>
      <c r="C144" s="36">
        <f ca="1">E115</f>
        <v>473687</v>
      </c>
      <c r="E144" s="1" t="s">
        <v>94</v>
      </c>
      <c r="K144" s="27">
        <f>$C$142</f>
        <v>2000000</v>
      </c>
      <c r="L144" s="93"/>
    </row>
    <row r="145" spans="2:14" x14ac:dyDescent="0.35">
      <c r="B145" s="32" t="s">
        <v>38</v>
      </c>
      <c r="C145" s="36">
        <f ca="1">ROUNDDOWN($C$143*$C$150,0)</f>
        <v>619040</v>
      </c>
      <c r="E145" s="1" t="s">
        <v>102</v>
      </c>
      <c r="K145" s="92">
        <f ca="1">ROUNDDOWN(K144/K141,0)</f>
        <v>789484</v>
      </c>
      <c r="L145" s="93" t="s">
        <v>109</v>
      </c>
    </row>
    <row r="146" spans="2:14" x14ac:dyDescent="0.35">
      <c r="B146" s="32" t="s">
        <v>36</v>
      </c>
      <c r="C146" s="37">
        <f ca="1">C145-C144</f>
        <v>145353</v>
      </c>
      <c r="E146" s="28" t="s">
        <v>111</v>
      </c>
      <c r="F146" s="28"/>
      <c r="G146" s="28"/>
      <c r="H146" s="28"/>
      <c r="I146" s="28"/>
      <c r="J146" s="28"/>
      <c r="K146" s="95">
        <f ca="1">IF(K141&lt;$C$148,K141,K141*(K142+K145)/(K142+K143))</f>
        <v>2.3267229260054227</v>
      </c>
      <c r="L146" s="94" t="s">
        <v>110</v>
      </c>
    </row>
    <row r="147" spans="2:14" x14ac:dyDescent="0.35">
      <c r="B147" s="32" t="s">
        <v>60</v>
      </c>
      <c r="C147" s="36">
        <f ca="1">SeriesBCapTable[[#Totals],[Total Stock (Fully Diluted)]]-$L$173</f>
        <v>4952318</v>
      </c>
    </row>
    <row r="148" spans="2:14" x14ac:dyDescent="0.35">
      <c r="B148" s="32" t="s">
        <v>29</v>
      </c>
      <c r="C148" s="38">
        <f ca="1">ROUND(C141/C147,4)</f>
        <v>1.6153999999999999</v>
      </c>
    </row>
    <row r="149" spans="2:14" x14ac:dyDescent="0.35">
      <c r="B149" s="32" t="s">
        <v>30</v>
      </c>
      <c r="C149" s="36">
        <f ca="1">ROUNDDOWN(C142/C148,0)</f>
        <v>1238083</v>
      </c>
      <c r="E149" s="90" t="s">
        <v>103</v>
      </c>
      <c r="F149" s="90"/>
      <c r="G149" s="90"/>
      <c r="H149" s="90"/>
      <c r="I149" s="90"/>
      <c r="J149" s="90"/>
      <c r="K149" s="91" t="s">
        <v>95</v>
      </c>
      <c r="L149" s="91" t="s">
        <v>96</v>
      </c>
    </row>
    <row r="150" spans="2:14" x14ac:dyDescent="0.35">
      <c r="B150" s="32" t="s">
        <v>31</v>
      </c>
      <c r="C150" s="39">
        <f ca="1">SUM(C147,C149)</f>
        <v>6190401</v>
      </c>
      <c r="E150" s="1" t="s">
        <v>104</v>
      </c>
      <c r="K150" s="89" cm="1">
        <f t="array" aca="1" ref="K150" ca="1">PostMoneySAFEWithValuationCap[Conversion Price]</f>
        <v>1.35</v>
      </c>
      <c r="L150" s="93" t="s">
        <v>106</v>
      </c>
    </row>
    <row r="151" spans="2:14" x14ac:dyDescent="0.35">
      <c r="B151" s="32" t="s">
        <v>57</v>
      </c>
      <c r="C151" s="50">
        <f ca="1">C148*C150</f>
        <v>9999973.7753999997</v>
      </c>
      <c r="E151" s="1" t="s">
        <v>99</v>
      </c>
      <c r="K151" s="20">
        <f ca="1">K142</f>
        <v>4263185</v>
      </c>
      <c r="L151" s="93" t="s">
        <v>107</v>
      </c>
    </row>
    <row r="152" spans="2:14" x14ac:dyDescent="0.35">
      <c r="B152" s="51" t="s">
        <v>32</v>
      </c>
      <c r="C152" s="52">
        <f ca="1">C149/$C$150</f>
        <v>0.20000045231318617</v>
      </c>
      <c r="E152" s="1" t="s">
        <v>93</v>
      </c>
      <c r="K152" s="20">
        <f ca="1">K143</f>
        <v>1238083</v>
      </c>
      <c r="L152" s="93" t="s">
        <v>108</v>
      </c>
    </row>
    <row r="153" spans="2:14" x14ac:dyDescent="0.35">
      <c r="B153" s="53" t="s">
        <v>98</v>
      </c>
      <c r="C153" s="54">
        <f ca="1">SUM(SeriesBCapTable[[#Totals],[Series A-1 Common Equivalents]],SeriesBCapTable[[#Totals],[Series A-2 Common Equivalents]])/$C$150</f>
        <v>0.19868599788608202</v>
      </c>
      <c r="E153" s="1" t="s">
        <v>94</v>
      </c>
      <c r="K153" s="20">
        <f>K144</f>
        <v>2000000</v>
      </c>
      <c r="L153" s="93"/>
    </row>
    <row r="154" spans="2:14" x14ac:dyDescent="0.35">
      <c r="B154" s="53" t="s">
        <v>34</v>
      </c>
      <c r="C154" s="55">
        <f ca="1">SeriesBCapTable[[#Totals],[Common Stock]]/$C$150</f>
        <v>0.48462127089989809</v>
      </c>
      <c r="E154" s="1" t="s">
        <v>102</v>
      </c>
      <c r="K154" s="92">
        <f ca="1">ROUNDDOWN(K153/K150,0)</f>
        <v>1481481</v>
      </c>
      <c r="L154" s="93" t="s">
        <v>109</v>
      </c>
    </row>
    <row r="155" spans="2:14" x14ac:dyDescent="0.35">
      <c r="B155" s="53" t="s">
        <v>35</v>
      </c>
      <c r="C155" s="54">
        <f ca="1">SUM(E166:E168)/$C$150</f>
        <v>1.6692295054876089E-2</v>
      </c>
      <c r="E155" s="28" t="s">
        <v>112</v>
      </c>
      <c r="F155" s="28"/>
      <c r="G155" s="28"/>
      <c r="H155" s="28"/>
      <c r="I155" s="28"/>
      <c r="J155" s="28"/>
      <c r="K155" s="95">
        <f ca="1">IF(K150&lt;$C$148,K150,K150*(K151+K154)/(K151+K152))</f>
        <v>1.35</v>
      </c>
      <c r="L155" s="94" t="s">
        <v>110</v>
      </c>
    </row>
    <row r="156" spans="2:14" x14ac:dyDescent="0.35">
      <c r="B156" s="56" t="s">
        <v>40</v>
      </c>
      <c r="C156" s="57">
        <f ca="1">SUM(C144,C146)/$C$150</f>
        <v>9.9999983845957638E-2</v>
      </c>
    </row>
    <row r="157" spans="2:14" x14ac:dyDescent="0.35">
      <c r="B157" s="40"/>
      <c r="C157" s="41">
        <f ca="1">SUM(C152:C156)</f>
        <v>1</v>
      </c>
    </row>
    <row r="159" spans="2:14" ht="17.5" thickBot="1" x14ac:dyDescent="0.45">
      <c r="B159" s="136" t="s">
        <v>119</v>
      </c>
    </row>
    <row r="160" spans="2:14" ht="46" customHeight="1" thickTop="1" x14ac:dyDescent="0.35">
      <c r="B160" s="97" t="s">
        <v>0</v>
      </c>
      <c r="C160" s="98" t="s">
        <v>2</v>
      </c>
      <c r="D160" s="98" t="s">
        <v>1</v>
      </c>
      <c r="E160" s="98" t="s">
        <v>3</v>
      </c>
      <c r="F160" s="111" t="s">
        <v>113</v>
      </c>
      <c r="G160" s="112" t="s">
        <v>91</v>
      </c>
      <c r="H160" s="113" t="s">
        <v>114</v>
      </c>
      <c r="I160" s="114" t="s">
        <v>92</v>
      </c>
      <c r="J160" s="132" t="s">
        <v>116</v>
      </c>
      <c r="K160" s="98" t="s">
        <v>4</v>
      </c>
      <c r="L160" s="98" t="s">
        <v>5</v>
      </c>
      <c r="M160" s="98" t="s">
        <v>15</v>
      </c>
      <c r="N160" s="98" t="s">
        <v>16</v>
      </c>
    </row>
    <row r="161" spans="2:14" x14ac:dyDescent="0.35">
      <c r="B161" s="99" t="s">
        <v>6</v>
      </c>
      <c r="C161" s="96">
        <v>1000000</v>
      </c>
      <c r="D161" s="96">
        <v>0</v>
      </c>
      <c r="E161" s="96">
        <v>0</v>
      </c>
      <c r="F161" s="115">
        <v>0</v>
      </c>
      <c r="G161" s="109">
        <f ca="1">ROUNDDOWN(SeriesBCapTable[[#This Row],[Series A-1 Preferred Stock]]*$K$141/$K$146,0)</f>
        <v>0</v>
      </c>
      <c r="H161" s="96">
        <v>0</v>
      </c>
      <c r="I161" s="116">
        <f ca="1">ROUNDDOWN(SeriesBCapTable[[#This Row],[Series A-2 Preferred Stock ]]*$K$150/$K$155,0)</f>
        <v>0</v>
      </c>
      <c r="J161" s="109">
        <v>0</v>
      </c>
      <c r="K161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1000000</v>
      </c>
      <c r="L161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1000000</v>
      </c>
      <c r="M161" s="100">
        <f ca="1">SeriesBCapTable[[#This Row],[Total Stock (Outstanding)]]/SeriesBCapTable[[#Totals],[Total Stock (Outstanding)]]</f>
        <v>0.18288125392165988</v>
      </c>
      <c r="N161" s="100">
        <f ca="1">SeriesBCapTable[[#This Row],[Total Stock (Fully Diluted)]]/SeriesBCapTable[[#Totals],[Total Stock (Fully Diluted)]]</f>
        <v>0.16154042363329937</v>
      </c>
    </row>
    <row r="162" spans="2:14" x14ac:dyDescent="0.35">
      <c r="B162" s="99" t="s">
        <v>7</v>
      </c>
      <c r="C162" s="96">
        <v>1000000</v>
      </c>
      <c r="D162" s="96">
        <v>0</v>
      </c>
      <c r="E162" s="96">
        <v>0</v>
      </c>
      <c r="F162" s="115">
        <v>0</v>
      </c>
      <c r="G162" s="109">
        <f ca="1">ROUNDDOWN(SeriesBCapTable[[#This Row],[Series A-1 Preferred Stock]]*$K$141/$K$146,0)</f>
        <v>0</v>
      </c>
      <c r="H162" s="96">
        <v>0</v>
      </c>
      <c r="I162" s="116">
        <f ca="1">ROUNDDOWN(SeriesBCapTable[[#This Row],[Series A-2 Preferred Stock ]]*$K$150/$K$155,0)</f>
        <v>0</v>
      </c>
      <c r="J162" s="109">
        <v>0</v>
      </c>
      <c r="K162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1000000</v>
      </c>
      <c r="L162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1000000</v>
      </c>
      <c r="M162" s="100">
        <f ca="1">SeriesBCapTable[[#This Row],[Total Stock (Outstanding)]]/SeriesBCapTable[[#Totals],[Total Stock (Outstanding)]]</f>
        <v>0.18288125392165988</v>
      </c>
      <c r="N162" s="100">
        <f ca="1">SeriesBCapTable[[#This Row],[Total Stock (Fully Diluted)]]/SeriesBCapTable[[#Totals],[Total Stock (Fully Diluted)]]</f>
        <v>0.16154042363329937</v>
      </c>
    </row>
    <row r="163" spans="2:14" x14ac:dyDescent="0.35">
      <c r="B163" s="99" t="s">
        <v>8</v>
      </c>
      <c r="C163" s="96">
        <v>500000</v>
      </c>
      <c r="D163" s="96">
        <v>0</v>
      </c>
      <c r="E163" s="96">
        <v>0</v>
      </c>
      <c r="F163" s="115">
        <v>0</v>
      </c>
      <c r="G163" s="109">
        <f ca="1">ROUNDDOWN(SeriesBCapTable[[#This Row],[Series A-1 Preferred Stock]]*$K$141/$K$146,0)</f>
        <v>0</v>
      </c>
      <c r="H163" s="96">
        <v>0</v>
      </c>
      <c r="I163" s="116">
        <f ca="1">ROUNDDOWN(SeriesBCapTable[[#This Row],[Series A-2 Preferred Stock ]]*$K$150/$K$155,0)</f>
        <v>0</v>
      </c>
      <c r="J163" s="109">
        <v>0</v>
      </c>
      <c r="K163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500000</v>
      </c>
      <c r="L163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500000</v>
      </c>
      <c r="M163" s="100">
        <f ca="1">SeriesBCapTable[[#This Row],[Total Stock (Outstanding)]]/SeriesBCapTable[[#Totals],[Total Stock (Outstanding)]]</f>
        <v>9.144062696082994E-2</v>
      </c>
      <c r="N163" s="100">
        <f ca="1">SeriesBCapTable[[#This Row],[Total Stock (Fully Diluted)]]/SeriesBCapTable[[#Totals],[Total Stock (Fully Diluted)]]</f>
        <v>8.0770211816649687E-2</v>
      </c>
    </row>
    <row r="164" spans="2:14" x14ac:dyDescent="0.35">
      <c r="B164" s="99" t="s">
        <v>9</v>
      </c>
      <c r="C164" s="96">
        <v>250000</v>
      </c>
      <c r="D164" s="96">
        <v>0</v>
      </c>
      <c r="E164" s="96">
        <v>0</v>
      </c>
      <c r="F164" s="115">
        <v>0</v>
      </c>
      <c r="G164" s="109">
        <f ca="1">ROUNDDOWN(SeriesBCapTable[[#This Row],[Series A-1 Preferred Stock]]*$K$141/$K$146,0)</f>
        <v>0</v>
      </c>
      <c r="H164" s="96">
        <v>0</v>
      </c>
      <c r="I164" s="116">
        <f ca="1">ROUNDDOWN(SeriesBCapTable[[#This Row],[Series A-2 Preferred Stock ]]*$K$150/$K$155,0)</f>
        <v>0</v>
      </c>
      <c r="J164" s="109">
        <v>0</v>
      </c>
      <c r="K164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250000</v>
      </c>
      <c r="L164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250000</v>
      </c>
      <c r="M164" s="100">
        <f ca="1">SeriesBCapTable[[#This Row],[Total Stock (Outstanding)]]/SeriesBCapTable[[#Totals],[Total Stock (Outstanding)]]</f>
        <v>4.572031348041497E-2</v>
      </c>
      <c r="N164" s="100">
        <f ca="1">SeriesBCapTable[[#This Row],[Total Stock (Fully Diluted)]]/SeriesBCapTable[[#Totals],[Total Stock (Fully Diluted)]]</f>
        <v>4.0385105908324843E-2</v>
      </c>
    </row>
    <row r="165" spans="2:14" x14ac:dyDescent="0.35">
      <c r="B165" s="99" t="s">
        <v>10</v>
      </c>
      <c r="C165" s="96">
        <v>250000</v>
      </c>
      <c r="D165" s="96">
        <v>0</v>
      </c>
      <c r="E165" s="96">
        <v>0</v>
      </c>
      <c r="F165" s="115">
        <v>0</v>
      </c>
      <c r="G165" s="109">
        <f ca="1">ROUNDDOWN(SeriesBCapTable[[#This Row],[Series A-1 Preferred Stock]]*$K$141/$K$146,0)</f>
        <v>0</v>
      </c>
      <c r="H165" s="96">
        <v>0</v>
      </c>
      <c r="I165" s="116">
        <f ca="1">ROUNDDOWN(SeriesBCapTable[[#This Row],[Series A-2 Preferred Stock ]]*$K$150/$K$155,0)</f>
        <v>0</v>
      </c>
      <c r="J165" s="109">
        <v>0</v>
      </c>
      <c r="K165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250000</v>
      </c>
      <c r="L165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250000</v>
      </c>
      <c r="M165" s="100">
        <f ca="1">SeriesBCapTable[[#This Row],[Total Stock (Outstanding)]]/SeriesBCapTable[[#Totals],[Total Stock (Outstanding)]]</f>
        <v>4.572031348041497E-2</v>
      </c>
      <c r="N165" s="100">
        <f ca="1">SeriesBCapTable[[#This Row],[Total Stock (Fully Diluted)]]/SeriesBCapTable[[#Totals],[Total Stock (Fully Diluted)]]</f>
        <v>4.0385105908324843E-2</v>
      </c>
    </row>
    <row r="166" spans="2:14" x14ac:dyDescent="0.35">
      <c r="B166" s="101" t="s">
        <v>11</v>
      </c>
      <c r="C166" s="96">
        <v>0</v>
      </c>
      <c r="D166" s="96">
        <v>0</v>
      </c>
      <c r="E166" s="96">
        <v>66666</v>
      </c>
      <c r="F166" s="115">
        <v>0</v>
      </c>
      <c r="G166" s="109">
        <f ca="1">ROUNDDOWN(SeriesBCapTable[[#This Row],[Series A-1 Preferred Stock]]*$K$141/$K$146,0)</f>
        <v>0</v>
      </c>
      <c r="H166" s="96">
        <v>0</v>
      </c>
      <c r="I166" s="116">
        <f ca="1">ROUNDDOWN(SeriesBCapTable[[#This Row],[Series A-2 Preferred Stock ]]*$K$150/$K$155,0)</f>
        <v>0</v>
      </c>
      <c r="J166" s="109">
        <v>0</v>
      </c>
      <c r="K166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0</v>
      </c>
      <c r="L166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66666</v>
      </c>
      <c r="M166" s="100">
        <f ca="1">SeriesBCapTable[[#This Row],[Total Stock (Outstanding)]]/SeriesBCapTable[[#Totals],[Total Stock (Outstanding)]]</f>
        <v>0</v>
      </c>
      <c r="N166" s="100">
        <f ca="1">SeriesBCapTable[[#This Row],[Total Stock (Fully Diluted)]]/SeriesBCapTable[[#Totals],[Total Stock (Fully Diluted)]]</f>
        <v>1.0769253881937535E-2</v>
      </c>
    </row>
    <row r="167" spans="2:14" x14ac:dyDescent="0.35">
      <c r="B167" s="101" t="s">
        <v>12</v>
      </c>
      <c r="C167" s="96">
        <v>0</v>
      </c>
      <c r="D167" s="96">
        <v>0</v>
      </c>
      <c r="E167" s="96">
        <v>33333</v>
      </c>
      <c r="F167" s="115">
        <v>0</v>
      </c>
      <c r="G167" s="109">
        <f ca="1">ROUNDDOWN(SeriesBCapTable[[#This Row],[Series A-1 Preferred Stock]]*$K$141/$K$146,0)</f>
        <v>0</v>
      </c>
      <c r="H167" s="96">
        <v>0</v>
      </c>
      <c r="I167" s="116">
        <f ca="1">ROUNDDOWN(SeriesBCapTable[[#This Row],[Series A-2 Preferred Stock ]]*$K$150/$K$155,0)</f>
        <v>0</v>
      </c>
      <c r="J167" s="109">
        <v>0</v>
      </c>
      <c r="K167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0</v>
      </c>
      <c r="L167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33333</v>
      </c>
      <c r="M167" s="100">
        <f ca="1">SeriesBCapTable[[#This Row],[Total Stock (Outstanding)]]/SeriesBCapTable[[#Totals],[Total Stock (Outstanding)]]</f>
        <v>0</v>
      </c>
      <c r="N167" s="100">
        <f ca="1">SeriesBCapTable[[#This Row],[Total Stock (Fully Diluted)]]/SeriesBCapTable[[#Totals],[Total Stock (Fully Diluted)]]</f>
        <v>5.3846269409687673E-3</v>
      </c>
    </row>
    <row r="168" spans="2:14" x14ac:dyDescent="0.35">
      <c r="B168" s="101" t="s">
        <v>13</v>
      </c>
      <c r="C168" s="96">
        <v>0</v>
      </c>
      <c r="D168" s="96">
        <v>0</v>
      </c>
      <c r="E168" s="96">
        <v>3333</v>
      </c>
      <c r="F168" s="115">
        <v>0</v>
      </c>
      <c r="G168" s="109">
        <f ca="1">ROUNDDOWN(SeriesBCapTable[[#This Row],[Series A-1 Preferred Stock]]*$K$141/$K$146,0)</f>
        <v>0</v>
      </c>
      <c r="H168" s="96">
        <v>0</v>
      </c>
      <c r="I168" s="116">
        <f ca="1">ROUNDDOWN(SeriesBCapTable[[#This Row],[Series A-2 Preferred Stock ]]*$K$150/$K$155,0)</f>
        <v>0</v>
      </c>
      <c r="J168" s="109">
        <v>0</v>
      </c>
      <c r="K168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0</v>
      </c>
      <c r="L168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3333</v>
      </c>
      <c r="M168" s="100">
        <f ca="1">SeriesBCapTable[[#This Row],[Total Stock (Outstanding)]]/SeriesBCapTable[[#Totals],[Total Stock (Outstanding)]]</f>
        <v>0</v>
      </c>
      <c r="N168" s="100">
        <f ca="1">SeriesBCapTable[[#This Row],[Total Stock (Fully Diluted)]]/SeriesBCapTable[[#Totals],[Total Stock (Fully Diluted)]]</f>
        <v>5.3841423196978678E-4</v>
      </c>
    </row>
    <row r="169" spans="2:14" x14ac:dyDescent="0.35">
      <c r="B169" s="122" t="s">
        <v>63</v>
      </c>
      <c r="C169" s="123">
        <v>0</v>
      </c>
      <c r="D169" s="123">
        <v>0</v>
      </c>
      <c r="E169" s="123">
        <f ca="1">C176-SUM(D161:E168)</f>
        <v>619040</v>
      </c>
      <c r="F169" s="124">
        <v>0</v>
      </c>
      <c r="G169" s="123">
        <f ca="1">ROUNDDOWN(SeriesBCapTable[[#This Row],[Series A-1 Preferred Stock]]*$K$141/$K$146,0)</f>
        <v>0</v>
      </c>
      <c r="H169" s="123">
        <v>0</v>
      </c>
      <c r="I169" s="125">
        <f ca="1">ROUNDDOWN(SeriesBCapTable[[#This Row],[Series A-2 Preferred Stock ]]*$K$150/$K$155,0)</f>
        <v>0</v>
      </c>
      <c r="J169" s="133">
        <v>0</v>
      </c>
      <c r="K169" s="123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0</v>
      </c>
      <c r="L169" s="123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619040</v>
      </c>
      <c r="M169" s="126">
        <f ca="1">SeriesBCapTable[[#This Row],[Total Stock (Outstanding)]]/SeriesBCapTable[[#Totals],[Total Stock (Outstanding)]]</f>
        <v>0</v>
      </c>
      <c r="N169" s="126">
        <f ca="1">SeriesBCapTable[[#This Row],[Total Stock (Fully Diluted)]]/SeriesBCapTable[[#Totals],[Total Stock (Fully Diluted)]]</f>
        <v>9.9999983845957638E-2</v>
      </c>
    </row>
    <row r="170" spans="2:14" x14ac:dyDescent="0.35">
      <c r="B170" s="99" t="s">
        <v>21</v>
      </c>
      <c r="C170" s="96">
        <v>0</v>
      </c>
      <c r="D170" s="96">
        <v>0</v>
      </c>
      <c r="E170" s="96">
        <v>0</v>
      </c>
      <c r="F170" s="115">
        <f ca="1">F116</f>
        <v>78948</v>
      </c>
      <c r="G170" s="109">
        <f ca="1">ROUNDDOWN(SeriesBCapTable[[#This Row],[Series A-1 Preferred Stock]]*$K$141/$K$146,0)</f>
        <v>85957</v>
      </c>
      <c r="H170" s="96">
        <f ca="1">G116</f>
        <v>370370</v>
      </c>
      <c r="I170" s="116">
        <f ca="1">ROUNDDOWN(SeriesBCapTable[[#This Row],[Series A-2 Preferred Stock ]]*$K$150/$K$155,0)</f>
        <v>370370</v>
      </c>
      <c r="J170" s="109">
        <v>0</v>
      </c>
      <c r="K170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456327</v>
      </c>
      <c r="L170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456327</v>
      </c>
      <c r="M170" s="100">
        <f ca="1">SeriesBCapTable[[#This Row],[Total Stock (Outstanding)]]/SeriesBCapTable[[#Totals],[Total Stock (Outstanding)]]</f>
        <v>8.3453653958309296E-2</v>
      </c>
      <c r="N170" s="100">
        <f ca="1">SeriesBCapTable[[#This Row],[Total Stock (Fully Diluted)]]/SeriesBCapTable[[#Totals],[Total Stock (Fully Diluted)]]</f>
        <v>7.3715256895312595E-2</v>
      </c>
    </row>
    <row r="171" spans="2:14" x14ac:dyDescent="0.35">
      <c r="B171" s="99" t="s">
        <v>65</v>
      </c>
      <c r="C171" s="96">
        <v>0</v>
      </c>
      <c r="D171" s="96">
        <v>0</v>
      </c>
      <c r="E171" s="96">
        <v>0</v>
      </c>
      <c r="F171" s="115">
        <f ca="1">F117</f>
        <v>592113</v>
      </c>
      <c r="G171" s="109">
        <f ca="1">ROUNDDOWN(SeriesBCapTable[[#This Row],[Series A-1 Preferred Stock]]*$K$141/$K$146,0)</f>
        <v>644683</v>
      </c>
      <c r="H171" s="96">
        <v>0</v>
      </c>
      <c r="I171" s="116">
        <f ca="1">ROUNDDOWN(SeriesBCapTable[[#This Row],[Series A-2 Preferred Stock ]]*$K$150/$K$155,0)</f>
        <v>0</v>
      </c>
      <c r="J171" s="109">
        <v>0</v>
      </c>
      <c r="K171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644683</v>
      </c>
      <c r="L171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644683</v>
      </c>
      <c r="M171" s="100">
        <f ca="1">SeriesBCapTable[[#This Row],[Total Stock (Outstanding)]]/SeriesBCapTable[[#Totals],[Total Stock (Outstanding)]]</f>
        <v>0.11790043542197746</v>
      </c>
      <c r="N171" s="100">
        <f ca="1">SeriesBCapTable[[#This Row],[Total Stock (Fully Diluted)]]/SeriesBCapTable[[#Totals],[Total Stock (Fully Diluted)]]</f>
        <v>0.10414236492918633</v>
      </c>
    </row>
    <row r="172" spans="2:14" x14ac:dyDescent="0.35">
      <c r="B172" s="102" t="s">
        <v>66</v>
      </c>
      <c r="C172" s="103">
        <v>0</v>
      </c>
      <c r="D172" s="103">
        <v>0</v>
      </c>
      <c r="E172" s="103">
        <v>0</v>
      </c>
      <c r="F172" s="115">
        <f ca="1">F118</f>
        <v>118422</v>
      </c>
      <c r="G172" s="110">
        <f ca="1">ROUNDDOWN(SeriesBCapTable[[#This Row],[Series A-1 Preferred Stock]]*$K$141/$K$146,0)</f>
        <v>128936</v>
      </c>
      <c r="H172" s="103">
        <v>0</v>
      </c>
      <c r="I172" s="117">
        <f ca="1">ROUNDDOWN(SeriesBCapTable[[#This Row],[Series A-2 Preferred Stock ]]*$K$150/$K$155,0)</f>
        <v>0</v>
      </c>
      <c r="J172" s="110">
        <v>0</v>
      </c>
      <c r="K172" s="103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128936</v>
      </c>
      <c r="L172" s="103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128936</v>
      </c>
      <c r="M172" s="104">
        <f ca="1">SeriesBCapTable[[#This Row],[Total Stock (Outstanding)]]/SeriesBCapTable[[#Totals],[Total Stock (Outstanding)]]</f>
        <v>2.3579977355643138E-2</v>
      </c>
      <c r="N172" s="104">
        <f ca="1">SeriesBCapTable[[#This Row],[Total Stock (Fully Diluted)]]/SeriesBCapTable[[#Totals],[Total Stock (Fully Diluted)]]</f>
        <v>2.0828376061583085E-2</v>
      </c>
    </row>
    <row r="173" spans="2:14" x14ac:dyDescent="0.35">
      <c r="B173" s="102" t="s">
        <v>115</v>
      </c>
      <c r="C173" s="96"/>
      <c r="D173" s="96"/>
      <c r="E173" s="96"/>
      <c r="F173" s="115">
        <v>0</v>
      </c>
      <c r="G173" s="109">
        <f ca="1">ROUNDDOWN(SeriesBCapTable[[#This Row],[Series A-1 Preferred Stock]]*$K$141/$K$146,0)</f>
        <v>0</v>
      </c>
      <c r="H173" s="96">
        <v>0</v>
      </c>
      <c r="I173" s="116">
        <f ca="1">ROUNDDOWN(SeriesBCapTable[[#This Row],[Series A-2 Preferred Stock ]]*$K$150/$K$155,0)</f>
        <v>0</v>
      </c>
      <c r="J173" s="109">
        <f ca="1">$C$149</f>
        <v>1238083</v>
      </c>
      <c r="K173" s="96">
        <f ca="1">SUM(SeriesBCapTable[[#This Row],[Common Stock]:[Common Stock (Plan)]],SeriesBCapTable[[#This Row],[Series A-1 Common Equivalents]],SeriesBCapTable[[#This Row],[Series A-2 Common Equivalents]],SeriesBCapTable[[#This Row],[Series B Preferred Stock (New Money)]])</f>
        <v>1238083</v>
      </c>
      <c r="L173" s="96">
        <f ca="1">SUM(SeriesBCapTable[[#This Row],[Common Stock]:[Options (Plan)]],SeriesBCapTable[[#This Row],[Series A-1 Common Equivalents]],SeriesBCapTable[[#This Row],[Series A-2 Common Equivalents]],SeriesBCapTable[[#This Row],[Series B Preferred Stock (New Money)]])</f>
        <v>1238083</v>
      </c>
      <c r="M173" s="100">
        <f ca="1">SeriesBCapTable[[#This Row],[Total Stock (Outstanding)]]/SeriesBCapTable[[#Totals],[Total Stock (Outstanding)]]</f>
        <v>0.22642217149909044</v>
      </c>
      <c r="N173" s="100">
        <f ca="1">SeriesBCapTable[[#This Row],[Total Stock (Fully Diluted)]]/SeriesBCapTable[[#Totals],[Total Stock (Fully Diluted)]]</f>
        <v>0.20000045231318617</v>
      </c>
    </row>
    <row r="174" spans="2:14" ht="15" thickBot="1" x14ac:dyDescent="0.4">
      <c r="B174" s="102" t="s">
        <v>14</v>
      </c>
      <c r="C174" s="105">
        <f>SUBTOTAL(109,SeriesBCapTable[Common Stock])</f>
        <v>3000000</v>
      </c>
      <c r="D174" s="105">
        <f>SUBTOTAL(109,SeriesBCapTable[Common Stock (Plan)])</f>
        <v>0</v>
      </c>
      <c r="E174" s="105">
        <f ca="1">SUBTOTAL(109,SeriesBCapTable[Options (Plan)])</f>
        <v>722372</v>
      </c>
      <c r="F174" s="118">
        <f ca="1">SUBTOTAL(109,SeriesBCapTable[Series A-1 Preferred Stock])</f>
        <v>789483</v>
      </c>
      <c r="G174" s="119">
        <f ca="1">SUBTOTAL(109,SeriesBCapTable[Series A-1 Common Equivalents])</f>
        <v>859576</v>
      </c>
      <c r="H174" s="120">
        <f ca="1">SUBTOTAL(109,SeriesBCapTable[Series A-2 Preferred Stock ])</f>
        <v>370370</v>
      </c>
      <c r="I174" s="121">
        <f ca="1">SUBTOTAL(109,SeriesBCapTable[Series A-2 Common Equivalents])</f>
        <v>370370</v>
      </c>
      <c r="J174" s="134">
        <f ca="1">SUBTOTAL(109,SeriesBCapTable[Series B Preferred Stock (New Money)])</f>
        <v>1238083</v>
      </c>
      <c r="K174" s="105">
        <f ca="1">SUBTOTAL(109,SeriesBCapTable[Total Stock (Outstanding)])</f>
        <v>5468029</v>
      </c>
      <c r="L174" s="105">
        <f ca="1">SUBTOTAL(109,SeriesBCapTable[Total Stock (Fully Diluted)])</f>
        <v>6190401</v>
      </c>
      <c r="M174" s="106">
        <f ca="1">SUBTOTAL(109,SeriesBCapTable[% Outstanding])</f>
        <v>1</v>
      </c>
      <c r="N174" s="108">
        <f ca="1">SUBTOTAL(109,SeriesBCapTable[% Fully Diluted])</f>
        <v>1</v>
      </c>
    </row>
    <row r="176" spans="2:14" x14ac:dyDescent="0.35">
      <c r="B176" s="10" t="s">
        <v>17</v>
      </c>
      <c r="C176" s="8">
        <f ca="1">SUM(C121,C146)</f>
        <v>722372</v>
      </c>
    </row>
    <row r="177" spans="2:3" x14ac:dyDescent="0.35">
      <c r="B177" s="70" t="s">
        <v>16</v>
      </c>
      <c r="C177" s="71">
        <f ca="1">C176/SeriesBCapTable[[#Totals],[Total Stock (Fully Diluted)]]</f>
        <v>0.11669227890083372</v>
      </c>
    </row>
    <row r="178" spans="2:3" x14ac:dyDescent="0.35">
      <c r="B178" s="11" t="s">
        <v>74</v>
      </c>
      <c r="C178" s="9">
        <f ca="1">E169/SeriesBCapTable[[#Totals],[Total Stock (Fully Diluted)]]</f>
        <v>9.9999983845957638E-2</v>
      </c>
    </row>
    <row r="183" spans="2:3" x14ac:dyDescent="0.35">
      <c r="B183" s="145" t="s">
        <v>129</v>
      </c>
    </row>
    <row r="184" spans="2:3" x14ac:dyDescent="0.35">
      <c r="B184" s="145" t="s">
        <v>130</v>
      </c>
    </row>
    <row r="185" spans="2:3" x14ac:dyDescent="0.35">
      <c r="B185" s="145" t="s">
        <v>131</v>
      </c>
    </row>
    <row r="186" spans="2:3" x14ac:dyDescent="0.35">
      <c r="B186" s="145" t="s">
        <v>132</v>
      </c>
    </row>
    <row r="188" spans="2:3" x14ac:dyDescent="0.35">
      <c r="B188" s="146"/>
    </row>
    <row r="189" spans="2:3" x14ac:dyDescent="0.35">
      <c r="B189" s="146" t="s">
        <v>135</v>
      </c>
    </row>
  </sheetData>
  <phoneticPr fontId="9" type="noConversion"/>
  <conditionalFormatting sqref="L107:L118">
    <cfRule type="cellIs" dxfId="4" priority="1" operator="equal">
      <formula>FALSE</formula>
    </cfRule>
    <cfRule type="cellIs" dxfId="3" priority="2" operator="equal">
      <formula>"n/a"</formula>
    </cfRule>
  </conditionalFormatting>
  <conditionalFormatting sqref="L107:N118">
    <cfRule type="cellIs" dxfId="2" priority="7" operator="equal">
      <formula>TRUE</formula>
    </cfRule>
  </conditionalFormatting>
  <conditionalFormatting sqref="N121:N123">
    <cfRule type="cellIs" dxfId="1" priority="3" operator="equal">
      <formula>TRUE</formula>
    </cfRule>
    <cfRule type="cellIs" dxfId="0" priority="4" operator="equal">
      <formula>FALSE</formula>
    </cfRule>
  </conditionalFormatting>
  <dataValidations disablePrompts="1" count="1">
    <dataValidation type="list" allowBlank="1" showInputMessage="1" showErrorMessage="1" sqref="O107:O118" xr:uid="{19B3A58B-FE69-D844-A73C-7BBB52CFBAA0}">
      <formula1>"Y,N"</formula1>
    </dataValidation>
  </dataValidations>
  <hyperlinks>
    <hyperlink ref="B2" r:id="rId1" display="A Model Startup" xr:uid="{4AC105A7-6B3B-448A-9966-848EA5AD7AA1}"/>
  </hyperlinks>
  <pageMargins left="0.7" right="0.7" top="0.75" bottom="0.75" header="0.3" footer="0.3"/>
  <pageSetup orientation="portrait" r:id="rId2"/>
  <ignoredErrors>
    <ignoredError sqref="C97" formulaRange="1"/>
  </ignoredErrors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Buchanan</dc:creator>
  <cp:lastModifiedBy>Jay Buchanan</cp:lastModifiedBy>
  <dcterms:created xsi:type="dcterms:W3CDTF">2023-02-16T20:38:08Z</dcterms:created>
  <dcterms:modified xsi:type="dcterms:W3CDTF">2023-10-02T13:00:48Z</dcterms:modified>
</cp:coreProperties>
</file>