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ptimalcounsel-my.sharepoint.com/personal/jay_optimalcounsel_com/Documents/Documents/Excel site/Brian post/"/>
    </mc:Choice>
  </mc:AlternateContent>
  <xr:revisionPtr revIDLastSave="28" documentId="8_{982597F5-4767-485A-8758-A05B1075E5B7}" xr6:coauthVersionLast="47" xr6:coauthVersionMax="47" xr10:uidLastSave="{BCCD16D3-5AD2-47AB-9036-36748A77732E}"/>
  <bookViews>
    <workbookView xWindow="5510" yWindow="1950" windowWidth="32810" windowHeight="14610" xr2:uid="{C73FA83F-D728-483D-8EB8-1184581E712A}"/>
  </bookViews>
  <sheets>
    <sheet name="Resisting the &quot;SAFE Stack&quot;" sheetId="1" r:id="rId1"/>
  </sheets>
  <definedNames>
    <definedName name="A1CurrentAvailablePool">'Resisting the "SAFE Stack"'!$D$68</definedName>
    <definedName name="A1FDPostMoneyShares">'Resisting the "SAFE Stack"'!$G$68</definedName>
    <definedName name="A1NewMoney">'Resisting the "SAFE Stack"'!$D$65</definedName>
    <definedName name="A1NewMoneyPrice">'Resisting the "SAFE Stack"'!$G$66</definedName>
    <definedName name="A1NewMoneyShares">'Resisting the "SAFE Stack"'!$G$67</definedName>
    <definedName name="A1PoolSharesAdded">'Resisting the "SAFE Stack"'!$D$70</definedName>
    <definedName name="A1PostMoneyValuation">'Resisting the "SAFE Stack"'!$D$64</definedName>
    <definedName name="A1PreMoneyCapitalization">'Resisting the "SAFE Stack"'!$G$65</definedName>
    <definedName name="A1PreMoneyValuation">'Resisting the "SAFE Stack"'!$D$66</definedName>
    <definedName name="A1SAFEConversionShares">'Resisting the "SAFE Stack"'!$G$64</definedName>
    <definedName name="A1TargetAvailablePool">'Resisting the "SAFE Stack"'!$D$67</definedName>
    <definedName name="A1TargetAvailablePoolShares">'Resisting the "SAFE Stack"'!$D$69</definedName>
    <definedName name="A2CurrentAvailablePool">'Resisting the "SAFE Stack"'!$P$68</definedName>
    <definedName name="A2FDPostMoneyShares">'Resisting the "SAFE Stack"'!$S$68</definedName>
    <definedName name="A2NewMoney">'Resisting the "SAFE Stack"'!$P$65</definedName>
    <definedName name="A2NewMoneyPrice">'Resisting the "SAFE Stack"'!$S$66</definedName>
    <definedName name="A2NewMoneyShares">'Resisting the "SAFE Stack"'!$S$67</definedName>
    <definedName name="A2PoolSharesAdded">'Resisting the "SAFE Stack"'!$P$70</definedName>
    <definedName name="A2PostMoneyValuation">'Resisting the "SAFE Stack"'!$P$64</definedName>
    <definedName name="A2PreMoneyCapitalization">'Resisting the "SAFE Stack"'!$S$65</definedName>
    <definedName name="A2PreMoneyValuation">'Resisting the "SAFE Stack"'!$P$66</definedName>
    <definedName name="A2SAFEConversionShares">'Resisting the "SAFE Stack"'!$S$64</definedName>
    <definedName name="A2TargetAvailablePool">'Resisting the "SAFE Stack"'!$P$67</definedName>
    <definedName name="A2TargetAvailablePoolShares">'Resisting the "SAFE Stack"'!$P$69</definedName>
    <definedName name="ExpandPoolAtSeed">'Resisting the "SAFE Stack"'!$S$34</definedName>
    <definedName name="SeedCurrentAvailablePool">'Resisting the "SAFE Stack"'!$P$40</definedName>
    <definedName name="SeedFDPostMoneyShares">'Resisting the "SAFE Stack"'!$S$40</definedName>
    <definedName name="SeedNewMoney">'Resisting the "SAFE Stack"'!$P$37</definedName>
    <definedName name="SeedNewMoneyPrice">'Resisting the "SAFE Stack"'!$S$38</definedName>
    <definedName name="SeedNewMoneyShares">'Resisting the "SAFE Stack"'!$S$39</definedName>
    <definedName name="SeedPoolSharesAdded">'Resisting the "SAFE Stack"'!$P$42</definedName>
    <definedName name="SeedPostMoneyValuation">'Resisting the "SAFE Stack"'!$P$36</definedName>
    <definedName name="SeedPreMoneyCapitalization">'Resisting the "SAFE Stack"'!$S$37</definedName>
    <definedName name="SeedPreMoneyValuation">'Resisting the "SAFE Stack"'!$P$38</definedName>
    <definedName name="SeedSAFEConversionShares">'Resisting the "SAFE Stack"'!$S$36</definedName>
    <definedName name="SeedTargetAvailablePool">'Resisting the "SAFE Stack"'!$P$39</definedName>
    <definedName name="SeedTargetAvailablePoolShares">'Resisting the "SAFE Stack"'!$P$41</definedName>
  </definedNames>
  <calcPr calcId="191029" iterate="1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1" l="1" a="1"/>
  <c r="B82" i="1" s="1"/>
  <c r="C37" i="1"/>
  <c r="C38" i="1" s="1"/>
  <c r="D37" i="1"/>
  <c r="B93" i="1"/>
  <c r="B92" i="1"/>
  <c r="B91" i="1"/>
  <c r="N93" i="1"/>
  <c r="N92" i="1"/>
  <c r="N91" i="1"/>
  <c r="T82" i="1"/>
  <c r="S78" i="1"/>
  <c r="S79" i="1"/>
  <c r="S82" i="1"/>
  <c r="H83" i="1"/>
  <c r="G78" i="1"/>
  <c r="G79" i="1"/>
  <c r="G83" i="1"/>
  <c r="D78" i="1"/>
  <c r="H78" i="1" s="1"/>
  <c r="C77" i="1"/>
  <c r="C92" i="1" s="1"/>
  <c r="C76" i="1"/>
  <c r="H76" i="1" s="1"/>
  <c r="R49" i="1"/>
  <c r="R50" i="1"/>
  <c r="P49" i="1"/>
  <c r="S49" i="1" s="1"/>
  <c r="O48" i="1"/>
  <c r="S48" i="1" s="1"/>
  <c r="O47" i="1"/>
  <c r="S47" i="1" s="1"/>
  <c r="P67" i="1"/>
  <c r="P65" i="1"/>
  <c r="P64" i="1"/>
  <c r="D66" i="1"/>
  <c r="P38" i="1"/>
  <c r="D24" i="1"/>
  <c r="K10" i="1"/>
  <c r="M10" i="1" s="1"/>
  <c r="L9" i="1"/>
  <c r="M9" i="1"/>
  <c r="L8" i="1"/>
  <c r="M8" i="1"/>
  <c r="L10" i="1"/>
  <c r="M7" i="1"/>
  <c r="L7" i="1"/>
  <c r="J11" i="1"/>
  <c r="G77" i="1" l="1"/>
  <c r="O54" i="1"/>
  <c r="C93" i="1"/>
  <c r="H77" i="1"/>
  <c r="C91" i="1"/>
  <c r="C85" i="1"/>
  <c r="G76" i="1"/>
  <c r="O76" i="1"/>
  <c r="O77" i="1"/>
  <c r="P78" i="1"/>
  <c r="R48" i="1"/>
  <c r="R47" i="1"/>
  <c r="P66" i="1"/>
  <c r="K11" i="1"/>
  <c r="D68" i="1"/>
  <c r="P40" i="1"/>
  <c r="M11" i="1"/>
  <c r="L11" i="1"/>
  <c r="O93" i="1" l="1"/>
  <c r="T78" i="1"/>
  <c r="T77" i="1"/>
  <c r="O92" i="1"/>
  <c r="S77" i="1"/>
  <c r="O85" i="1"/>
  <c r="O91" i="1"/>
  <c r="S76" i="1"/>
  <c r="T76" i="1"/>
  <c r="O8" i="1"/>
  <c r="O7" i="1"/>
  <c r="O10" i="1"/>
  <c r="O9" i="1"/>
  <c r="N7" i="1"/>
  <c r="N9" i="1"/>
  <c r="N8" i="1"/>
  <c r="N10" i="1"/>
  <c r="O11" i="1" l="1"/>
  <c r="N11" i="1"/>
  <c r="E85" i="1" l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K24" i="1"/>
  <c r="L24" i="1"/>
  <c r="M24" i="1"/>
  <c r="R24" i="1"/>
  <c r="S24" i="1"/>
  <c r="T24" i="1"/>
  <c r="S36" i="1"/>
  <c r="V36" i="1"/>
  <c r="F37" i="1"/>
  <c r="G37" i="1"/>
  <c r="H37" i="1"/>
  <c r="I37" i="1"/>
  <c r="J37" i="1"/>
  <c r="K37" i="1"/>
  <c r="L37" i="1"/>
  <c r="S37" i="1"/>
  <c r="V37" i="1"/>
  <c r="J38" i="1"/>
  <c r="K38" i="1"/>
  <c r="L38" i="1"/>
  <c r="S38" i="1"/>
  <c r="V38" i="1"/>
  <c r="S39" i="1"/>
  <c r="V39" i="1"/>
  <c r="S40" i="1"/>
  <c r="V40" i="1"/>
  <c r="P41" i="1"/>
  <c r="P42" i="1"/>
  <c r="T47" i="1"/>
  <c r="U47" i="1"/>
  <c r="T48" i="1"/>
  <c r="U48" i="1"/>
  <c r="T49" i="1"/>
  <c r="U49" i="1"/>
  <c r="P50" i="1"/>
  <c r="S50" i="1"/>
  <c r="T50" i="1"/>
  <c r="U50" i="1"/>
  <c r="Q51" i="1"/>
  <c r="R51" i="1"/>
  <c r="S51" i="1"/>
  <c r="T51" i="1"/>
  <c r="U51" i="1"/>
  <c r="Q52" i="1"/>
  <c r="R52" i="1"/>
  <c r="S52" i="1"/>
  <c r="T52" i="1"/>
  <c r="U52" i="1"/>
  <c r="Q53" i="1"/>
  <c r="R53" i="1"/>
  <c r="S53" i="1"/>
  <c r="T53" i="1"/>
  <c r="U53" i="1"/>
  <c r="P54" i="1"/>
  <c r="Q54" i="1"/>
  <c r="R54" i="1"/>
  <c r="S54" i="1"/>
  <c r="T54" i="1"/>
  <c r="U54" i="1"/>
  <c r="G64" i="1"/>
  <c r="J64" i="1"/>
  <c r="V64" i="1"/>
  <c r="G65" i="1"/>
  <c r="J65" i="1"/>
  <c r="S65" i="1"/>
  <c r="V65" i="1"/>
  <c r="G66" i="1"/>
  <c r="J66" i="1"/>
  <c r="S66" i="1"/>
  <c r="V66" i="1"/>
  <c r="G67" i="1"/>
  <c r="J67" i="1"/>
  <c r="S67" i="1"/>
  <c r="V67" i="1"/>
  <c r="G68" i="1"/>
  <c r="J68" i="1"/>
  <c r="P68" i="1"/>
  <c r="S68" i="1"/>
  <c r="V68" i="1"/>
  <c r="D69" i="1"/>
  <c r="P69" i="1"/>
  <c r="D70" i="1"/>
  <c r="P70" i="1"/>
  <c r="I76" i="1"/>
  <c r="J76" i="1"/>
  <c r="U76" i="1"/>
  <c r="V76" i="1"/>
  <c r="I77" i="1"/>
  <c r="J77" i="1"/>
  <c r="U77" i="1"/>
  <c r="V77" i="1"/>
  <c r="I78" i="1"/>
  <c r="J78" i="1"/>
  <c r="U78" i="1"/>
  <c r="V78" i="1"/>
  <c r="D79" i="1"/>
  <c r="H79" i="1"/>
  <c r="I79" i="1"/>
  <c r="J79" i="1"/>
  <c r="P79" i="1"/>
  <c r="T79" i="1"/>
  <c r="U79" i="1"/>
  <c r="V79" i="1"/>
  <c r="F80" i="1"/>
  <c r="G80" i="1"/>
  <c r="H80" i="1"/>
  <c r="I80" i="1"/>
  <c r="J80" i="1"/>
  <c r="Q80" i="1"/>
  <c r="S80" i="1"/>
  <c r="T80" i="1"/>
  <c r="U80" i="1"/>
  <c r="V80" i="1"/>
  <c r="F81" i="1"/>
  <c r="G81" i="1"/>
  <c r="H81" i="1"/>
  <c r="I81" i="1"/>
  <c r="J81" i="1"/>
  <c r="Q81" i="1"/>
  <c r="S81" i="1"/>
  <c r="T81" i="1"/>
  <c r="U81" i="1"/>
  <c r="V81" i="1"/>
  <c r="F82" i="1" a="1"/>
  <c r="F82" i="1"/>
  <c r="G82" i="1"/>
  <c r="H82" i="1"/>
  <c r="I82" i="1"/>
  <c r="J82" i="1"/>
  <c r="U82" i="1"/>
  <c r="V82" i="1"/>
  <c r="I83" i="1"/>
  <c r="J83" i="1"/>
  <c r="Q83" i="1"/>
  <c r="S83" i="1"/>
  <c r="T83" i="1"/>
  <c r="U83" i="1"/>
  <c r="V83" i="1"/>
  <c r="F84" i="1"/>
  <c r="G84" i="1"/>
  <c r="H84" i="1"/>
  <c r="I84" i="1"/>
  <c r="J84" i="1"/>
  <c r="R84" i="1"/>
  <c r="S84" i="1"/>
  <c r="T84" i="1"/>
  <c r="U84" i="1"/>
  <c r="V84" i="1"/>
  <c r="D85" i="1"/>
  <c r="F85" i="1"/>
  <c r="G85" i="1"/>
  <c r="H85" i="1"/>
  <c r="I85" i="1"/>
  <c r="J85" i="1"/>
  <c r="P85" i="1"/>
  <c r="Q85" i="1"/>
  <c r="R85" i="1"/>
  <c r="S85" i="1"/>
  <c r="T85" i="1"/>
  <c r="U85" i="1"/>
  <c r="V85" i="1"/>
  <c r="D91" i="1"/>
  <c r="E91" i="1"/>
  <c r="P91" i="1"/>
  <c r="Q91" i="1"/>
  <c r="D92" i="1"/>
  <c r="E92" i="1"/>
  <c r="P92" i="1"/>
  <c r="Q92" i="1"/>
  <c r="D93" i="1"/>
  <c r="E93" i="1"/>
  <c r="P93" i="1"/>
  <c r="Q93" i="1"/>
  <c r="E94" i="1"/>
  <c r="F94" i="1"/>
  <c r="Q94" i="1"/>
  <c r="R9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<sst xmlns="http://schemas.openxmlformats.org/spreadsheetml/2006/main" count="184" uniqueCount="91">
  <si>
    <t>Holders</t>
  </si>
  <si>
    <t>Common Stock</t>
  </si>
  <si>
    <t>Total Stock O/S</t>
  </si>
  <si>
    <t>Total Stock (FD)</t>
  </si>
  <si>
    <t>% O/S</t>
  </si>
  <si>
    <t>% FD</t>
  </si>
  <si>
    <t>Total</t>
  </si>
  <si>
    <t>SAFE holder</t>
  </si>
  <si>
    <t>Amount</t>
  </si>
  <si>
    <t>Post-money cap</t>
  </si>
  <si>
    <t>Founder 1</t>
  </si>
  <si>
    <t>Founder 2</t>
  </si>
  <si>
    <t>Options</t>
  </si>
  <si>
    <t>Employee 1</t>
  </si>
  <si>
    <t>Option Pool Reserved</t>
  </si>
  <si>
    <t>Discount</t>
  </si>
  <si>
    <t>Company Capitalization</t>
  </si>
  <si>
    <t>Discount Price</t>
  </si>
  <si>
    <t>Valuation Cap Price</t>
  </si>
  <si>
    <t>Final Conversion Price</t>
  </si>
  <si>
    <t>Conversion Shares</t>
  </si>
  <si>
    <t>FD Pre-financing</t>
  </si>
  <si>
    <t>FD Post-financing</t>
  </si>
  <si>
    <t>Angel 1</t>
  </si>
  <si>
    <t>Angel 2</t>
  </si>
  <si>
    <t>Pre-money valuation</t>
  </si>
  <si>
    <t>New money</t>
  </si>
  <si>
    <t>Target available pool</t>
  </si>
  <si>
    <t>Current available pool</t>
  </si>
  <si>
    <t>Post-money valuation</t>
  </si>
  <si>
    <t>Pool shares added</t>
  </si>
  <si>
    <t>SAFE conversion shares</t>
  </si>
  <si>
    <t>Pre-money capitalization</t>
  </si>
  <si>
    <t>New-money price</t>
  </si>
  <si>
    <t>New-money shares</t>
  </si>
  <si>
    <t>FD post-money shares</t>
  </si>
  <si>
    <t>New-money FD%</t>
  </si>
  <si>
    <t>Convertibles FD %</t>
  </si>
  <si>
    <t>Founders FD%</t>
  </si>
  <si>
    <t>Available pool FD %</t>
  </si>
  <si>
    <t>Pool FD %</t>
  </si>
  <si>
    <t>Discount Price (Seed)</t>
  </si>
  <si>
    <t>Valuation Cap Price (Seed)</t>
  </si>
  <si>
    <t>Final Conversion Price (Seed)</t>
  </si>
  <si>
    <t>Conversion Shares (Seed)</t>
  </si>
  <si>
    <t>FD Pre-financing (Seed)</t>
  </si>
  <si>
    <t>FD Post-financing (Seed)</t>
  </si>
  <si>
    <t>Target available pool (shares)</t>
  </si>
  <si>
    <t>Discount Price (A)</t>
  </si>
  <si>
    <t>Valuation Cap Price (A)</t>
  </si>
  <si>
    <t>Final Conversion Price (A)</t>
  </si>
  <si>
    <t>Conversion Shares (A)</t>
  </si>
  <si>
    <t>FD Pre-financing (A)</t>
  </si>
  <si>
    <t>FD Post-financing (A)</t>
  </si>
  <si>
    <t>Company Capitalization (Seed)</t>
  </si>
  <si>
    <t>Company Capitalization (A)</t>
  </si>
  <si>
    <t>Cap Table post-Series Seed</t>
  </si>
  <si>
    <t>Series Seed</t>
  </si>
  <si>
    <t>Total O/S</t>
  </si>
  <si>
    <t>Total FD</t>
  </si>
  <si>
    <t>Cap Table post-Series A (no Series Seed)</t>
  </si>
  <si>
    <t>Cap Table post-Series A (with Series Seed)</t>
  </si>
  <si>
    <t>Series A</t>
  </si>
  <si>
    <t>Pool Resv'd</t>
  </si>
  <si>
    <t>Common Holder Equity</t>
  </si>
  <si>
    <t>Post-$ Value</t>
  </si>
  <si>
    <t>FD Shares</t>
  </si>
  <si>
    <t>Post-$ FD %</t>
  </si>
  <si>
    <t>SAFE Conversion - Additional SAFE, No Series Seed</t>
  </si>
  <si>
    <t>SAFE Conversion - Series Seed, No Additional SAFE</t>
  </si>
  <si>
    <t>Time 3A - Series A (no Series Seed)</t>
  </si>
  <si>
    <t>Time 3B - Series A (after Series Seed)</t>
  </si>
  <si>
    <t>New-money FD %</t>
  </si>
  <si>
    <t>Founders FD %</t>
  </si>
  <si>
    <t>Expand Option Pool?</t>
  </si>
  <si>
    <t>YES</t>
  </si>
  <si>
    <t xml:space="preserve">OpenStartupModel.com - Resisting the "SAFE Stack" </t>
  </si>
  <si>
    <t>Time 0 - pre-financing cap table (formation)</t>
  </si>
  <si>
    <t>Time 2A - issue another post-money SAFE (seed round)</t>
  </si>
  <si>
    <t>Time 2B - Series Seed equity round</t>
  </si>
  <si>
    <t>Seed investor</t>
  </si>
  <si>
    <t>Time 1 - initial SAFE rounds (angel rounds)</t>
  </si>
  <si>
    <t>SAFE holders</t>
  </si>
  <si>
    <r>
      <t xml:space="preserve">*** </t>
    </r>
    <r>
      <rPr>
        <b/>
        <i/>
        <u/>
        <sz val="10"/>
        <color rgb="FFFF0000"/>
        <rFont val="Calibri"/>
        <family val="2"/>
        <scheme val="minor"/>
      </rPr>
      <t>Disclaimer</t>
    </r>
    <r>
      <rPr>
        <b/>
        <i/>
        <sz val="10"/>
        <color rgb="FFFF0000"/>
        <rFont val="Calibri"/>
        <family val="2"/>
        <scheme val="minor"/>
      </rPr>
      <t xml:space="preserve">: These models are for educational purposes only and are intended to be used in consultation with </t>
    </r>
    <r>
      <rPr>
        <b/>
        <i/>
        <u/>
        <sz val="10"/>
        <color rgb="FFFF0000"/>
        <rFont val="Calibri"/>
        <family val="2"/>
        <scheme val="minor"/>
      </rPr>
      <t>experienced legal counsel</t>
    </r>
    <r>
      <rPr>
        <b/>
        <i/>
        <sz val="10"/>
        <color rgb="FFFF0000"/>
        <rFont val="Calibri"/>
        <family val="2"/>
        <scheme val="minor"/>
      </rPr>
      <t xml:space="preserve"> with a full understanding of the context in which the models are being used.</t>
    </r>
  </si>
  <si>
    <t>This model is intended to provide flexibility, not to indicate "market" terms.</t>
  </si>
  <si>
    <t>By downloading or using these models, you agree that neither I nor Optimal Counsel LLP bears any responsibility for your use or misuse of the models.</t>
  </si>
  <si>
    <t>These models are provided as-is with no warranty whatsoever, including as to accuracy of calculations or applicability to any particular situation.</t>
  </si>
  <si>
    <t>ALWAYS consult your company's lawyer before making any decisions or taking any actions relating to the scenarios covered by these models. ***</t>
  </si>
  <si>
    <t>Feel free to send us feedback or contact us with questions.</t>
  </si>
  <si>
    <t>But please do not republish without attribution to OpenStartupModel.com, and do not sell any version of this model.</t>
  </si>
  <si>
    <t>Last updated May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</si>
</sst>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rgb="FF7F7F7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14" fillId="0" borderId="0" applyNumberFormat="0" applyFill="0" applyBorder="0" applyAlignment="0" applyProtection="0"/>
  </cellStyleXfs>
  <cellXfs count="129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Fill="1"/>
    <xf numFmtId="9" fontId="0" fillId="0" borderId="0" xfId="3" applyFont="1" applyFill="1"/>
    <xf numFmtId="10" fontId="0" fillId="0" borderId="0" xfId="3" applyNumberFormat="1" applyFont="1" applyFill="1"/>
    <xf numFmtId="10" fontId="1" fillId="0" borderId="0" xfId="3" applyNumberFormat="1" applyFont="1" applyFill="1"/>
    <xf numFmtId="0" fontId="0" fillId="0" borderId="0" xfId="0" applyAlignment="1">
      <alignment horizontal="center" wrapText="1"/>
    </xf>
    <xf numFmtId="44" fontId="0" fillId="0" borderId="0" xfId="2" applyFont="1" applyFill="1"/>
    <xf numFmtId="165" fontId="0" fillId="0" borderId="0" xfId="2" applyNumberFormat="1" applyFont="1" applyFill="1"/>
    <xf numFmtId="164" fontId="0" fillId="0" borderId="0" xfId="0" applyNumberFormat="1"/>
    <xf numFmtId="0" fontId="2" fillId="3" borderId="0" xfId="4" applyFill="1"/>
    <xf numFmtId="165" fontId="0" fillId="0" borderId="0" xfId="0" applyNumberFormat="1"/>
    <xf numFmtId="164" fontId="1" fillId="0" borderId="0" xfId="1" applyNumberFormat="1" applyFont="1" applyFill="1"/>
    <xf numFmtId="10" fontId="0" fillId="0" borderId="0" xfId="0" applyNumberFormat="1"/>
    <xf numFmtId="0" fontId="5" fillId="0" borderId="0" xfId="0" applyFont="1"/>
    <xf numFmtId="164" fontId="5" fillId="0" borderId="0" xfId="1" applyNumberFormat="1" applyFont="1" applyFill="1"/>
    <xf numFmtId="10" fontId="5" fillId="0" borderId="0" xfId="3" applyNumberFormat="1" applyFont="1" applyFill="1"/>
    <xf numFmtId="166" fontId="0" fillId="0" borderId="0" xfId="2" applyNumberFormat="1" applyFont="1" applyFill="1" applyBorder="1"/>
    <xf numFmtId="164" fontId="0" fillId="0" borderId="0" xfId="1" applyNumberFormat="1" applyFont="1" applyFill="1" applyBorder="1"/>
    <xf numFmtId="10" fontId="0" fillId="0" borderId="0" xfId="3" applyNumberFormat="1" applyFont="1" applyFill="1" applyBorder="1"/>
    <xf numFmtId="10" fontId="0" fillId="0" borderId="7" xfId="3" applyNumberFormat="1" applyFont="1" applyFill="1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10" fontId="0" fillId="0" borderId="10" xfId="3" applyNumberFormat="1" applyFont="1" applyFill="1" applyBorder="1"/>
    <xf numFmtId="10" fontId="1" fillId="0" borderId="9" xfId="0" applyNumberFormat="1" applyFont="1" applyBorder="1"/>
    <xf numFmtId="165" fontId="0" fillId="0" borderId="9" xfId="0" applyNumberFormat="1" applyBorder="1"/>
    <xf numFmtId="10" fontId="0" fillId="0" borderId="9" xfId="0" applyNumberFormat="1" applyBorder="1"/>
    <xf numFmtId="0" fontId="0" fillId="0" borderId="0" xfId="0" applyAlignment="1">
      <alignment horizontal="center"/>
    </xf>
    <xf numFmtId="0" fontId="7" fillId="3" borderId="0" xfId="0" applyFont="1" applyFill="1"/>
    <xf numFmtId="0" fontId="0" fillId="0" borderId="2" xfId="0" applyBorder="1"/>
    <xf numFmtId="0" fontId="0" fillId="0" borderId="12" xfId="0" applyBorder="1"/>
    <xf numFmtId="164" fontId="0" fillId="0" borderId="2" xfId="1" applyNumberFormat="1" applyFont="1" applyFill="1" applyBorder="1"/>
    <xf numFmtId="164" fontId="0" fillId="0" borderId="12" xfId="1" applyNumberFormat="1" applyFont="1" applyFill="1" applyBorder="1"/>
    <xf numFmtId="10" fontId="0" fillId="0" borderId="2" xfId="3" applyNumberFormat="1" applyFont="1" applyFill="1" applyBorder="1"/>
    <xf numFmtId="10" fontId="0" fillId="0" borderId="12" xfId="3" applyNumberFormat="1" applyFont="1" applyFill="1" applyBorder="1"/>
    <xf numFmtId="0" fontId="5" fillId="0" borderId="2" xfId="0" applyFont="1" applyBorder="1"/>
    <xf numFmtId="164" fontId="5" fillId="0" borderId="2" xfId="1" applyNumberFormat="1" applyFont="1" applyFill="1" applyBorder="1"/>
    <xf numFmtId="10" fontId="5" fillId="0" borderId="2" xfId="3" applyNumberFormat="1" applyFont="1" applyFill="1" applyBorder="1"/>
    <xf numFmtId="44" fontId="0" fillId="0" borderId="0" xfId="0" applyNumberFormat="1"/>
    <xf numFmtId="44" fontId="0" fillId="3" borderId="0" xfId="2" applyFont="1" applyFill="1"/>
    <xf numFmtId="44" fontId="8" fillId="4" borderId="0" xfId="0" applyNumberFormat="1" applyFont="1" applyFill="1"/>
    <xf numFmtId="44" fontId="4" fillId="4" borderId="0" xfId="2" applyFont="1" applyFill="1"/>
    <xf numFmtId="164" fontId="0" fillId="3" borderId="0" xfId="1" applyNumberFormat="1" applyFont="1" applyFill="1"/>
    <xf numFmtId="10" fontId="0" fillId="3" borderId="0" xfId="3" applyNumberFormat="1" applyFont="1" applyFill="1"/>
    <xf numFmtId="164" fontId="0" fillId="0" borderId="6" xfId="3" applyNumberFormat="1" applyFont="1" applyFill="1" applyBorder="1"/>
    <xf numFmtId="164" fontId="0" fillId="0" borderId="6" xfId="1" applyNumberFormat="1" applyFont="1" applyFill="1" applyBorder="1"/>
    <xf numFmtId="10" fontId="0" fillId="0" borderId="8" xfId="0" applyNumberFormat="1" applyBorder="1"/>
    <xf numFmtId="10" fontId="0" fillId="0" borderId="10" xfId="0" applyNumberFormat="1" applyBorder="1"/>
    <xf numFmtId="10" fontId="1" fillId="3" borderId="0" xfId="3" applyNumberFormat="1" applyFont="1" applyFill="1"/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/>
    <xf numFmtId="165" fontId="9" fillId="0" borderId="0" xfId="2" applyNumberFormat="1" applyFont="1" applyFill="1"/>
    <xf numFmtId="9" fontId="9" fillId="0" borderId="0" xfId="3" applyFont="1" applyFill="1"/>
    <xf numFmtId="164" fontId="9" fillId="0" borderId="0" xfId="0" applyNumberFormat="1" applyFont="1"/>
    <xf numFmtId="166" fontId="9" fillId="0" borderId="0" xfId="2" applyNumberFormat="1" applyFont="1" applyFill="1"/>
    <xf numFmtId="164" fontId="9" fillId="0" borderId="0" xfId="1" applyNumberFormat="1" applyFont="1" applyFill="1"/>
    <xf numFmtId="10" fontId="9" fillId="0" borderId="0" xfId="3" applyNumberFormat="1" applyFont="1" applyFill="1"/>
    <xf numFmtId="0" fontId="0" fillId="5" borderId="3" xfId="0" applyFill="1" applyBorder="1"/>
    <xf numFmtId="0" fontId="0" fillId="5" borderId="4" xfId="0" applyFill="1" applyBorder="1"/>
    <xf numFmtId="164" fontId="0" fillId="5" borderId="4" xfId="1" applyNumberFormat="1" applyFont="1" applyFill="1" applyBorder="1"/>
    <xf numFmtId="10" fontId="0" fillId="5" borderId="5" xfId="3" applyNumberFormat="1" applyFont="1" applyFill="1" applyBorder="1"/>
    <xf numFmtId="0" fontId="0" fillId="5" borderId="6" xfId="0" applyFill="1" applyBorder="1"/>
    <xf numFmtId="0" fontId="0" fillId="5" borderId="0" xfId="0" applyFill="1"/>
    <xf numFmtId="164" fontId="0" fillId="5" borderId="0" xfId="1" applyNumberFormat="1" applyFont="1" applyFill="1" applyBorder="1"/>
    <xf numFmtId="10" fontId="0" fillId="5" borderId="7" xfId="3" applyNumberFormat="1" applyFont="1" applyFill="1" applyBorder="1"/>
    <xf numFmtId="165" fontId="0" fillId="5" borderId="0" xfId="2" applyNumberFormat="1" applyFont="1" applyFill="1" applyBorder="1"/>
    <xf numFmtId="166" fontId="0" fillId="5" borderId="0" xfId="2" applyNumberFormat="1" applyFont="1" applyFill="1" applyBorder="1"/>
    <xf numFmtId="164" fontId="0" fillId="5" borderId="0" xfId="0" applyNumberFormat="1" applyFill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164" fontId="0" fillId="5" borderId="9" xfId="1" applyNumberFormat="1" applyFont="1" applyFill="1" applyBorder="1"/>
    <xf numFmtId="0" fontId="0" fillId="5" borderId="10" xfId="0" applyFill="1" applyBorder="1"/>
    <xf numFmtId="0" fontId="0" fillId="6" borderId="3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3" xfId="0" applyFill="1" applyBorder="1"/>
    <xf numFmtId="0" fontId="0" fillId="6" borderId="4" xfId="0" applyFill="1" applyBorder="1"/>
    <xf numFmtId="164" fontId="0" fillId="6" borderId="5" xfId="1" applyNumberFormat="1" applyFont="1" applyFill="1" applyBorder="1"/>
    <xf numFmtId="10" fontId="0" fillId="6" borderId="5" xfId="3" applyNumberFormat="1" applyFont="1" applyFill="1" applyBorder="1"/>
    <xf numFmtId="0" fontId="0" fillId="6" borderId="6" xfId="0" applyFill="1" applyBorder="1"/>
    <xf numFmtId="0" fontId="0" fillId="6" borderId="0" xfId="0" applyFill="1"/>
    <xf numFmtId="164" fontId="0" fillId="6" borderId="7" xfId="1" applyNumberFormat="1" applyFont="1" applyFill="1" applyBorder="1"/>
    <xf numFmtId="10" fontId="0" fillId="6" borderId="7" xfId="3" applyNumberFormat="1" applyFont="1" applyFill="1" applyBorder="1"/>
    <xf numFmtId="165" fontId="0" fillId="6" borderId="7" xfId="0" applyNumberFormat="1" applyFill="1" applyBorder="1"/>
    <xf numFmtId="166" fontId="0" fillId="6" borderId="7" xfId="2" applyNumberFormat="1" applyFont="1" applyFill="1" applyBorder="1"/>
    <xf numFmtId="164" fontId="0" fillId="6" borderId="7" xfId="0" applyNumberForma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164" fontId="0" fillId="6" borderId="10" xfId="1" applyNumberFormat="1" applyFont="1" applyFill="1" applyBorder="1"/>
    <xf numFmtId="0" fontId="0" fillId="6" borderId="10" xfId="0" applyFill="1" applyBorder="1"/>
    <xf numFmtId="0" fontId="8" fillId="0" borderId="11" xfId="0" applyFont="1" applyBorder="1"/>
    <xf numFmtId="0" fontId="4" fillId="3" borderId="0" xfId="0" applyFont="1" applyFill="1" applyAlignment="1">
      <alignment horizontal="left" indent="2"/>
    </xf>
    <xf numFmtId="165" fontId="0" fillId="6" borderId="4" xfId="2" applyNumberFormat="1" applyFont="1" applyFill="1" applyBorder="1"/>
    <xf numFmtId="164" fontId="0" fillId="6" borderId="4" xfId="1" applyNumberFormat="1" applyFont="1" applyFill="1" applyBorder="1"/>
    <xf numFmtId="165" fontId="0" fillId="6" borderId="0" xfId="2" applyNumberFormat="1" applyFont="1" applyFill="1" applyBorder="1"/>
    <xf numFmtId="164" fontId="0" fillId="6" borderId="0" xfId="1" applyNumberFormat="1" applyFont="1" applyFill="1" applyBorder="1"/>
    <xf numFmtId="166" fontId="0" fillId="6" borderId="0" xfId="2" applyNumberFormat="1" applyFont="1" applyFill="1" applyBorder="1"/>
    <xf numFmtId="9" fontId="0" fillId="6" borderId="0" xfId="3" applyFont="1" applyFill="1" applyBorder="1"/>
    <xf numFmtId="164" fontId="0" fillId="6" borderId="9" xfId="1" applyNumberFormat="1" applyFont="1" applyFill="1" applyBorder="1"/>
    <xf numFmtId="0" fontId="10" fillId="3" borderId="0" xfId="0" applyFont="1" applyFill="1"/>
    <xf numFmtId="0" fontId="11" fillId="2" borderId="1" xfId="5" applyFont="1" applyAlignment="1">
      <alignment horizontal="center"/>
    </xf>
    <xf numFmtId="165" fontId="11" fillId="2" borderId="1" xfId="5" applyNumberFormat="1" applyFont="1"/>
    <xf numFmtId="9" fontId="11" fillId="2" borderId="1" xfId="5" applyNumberFormat="1" applyFont="1"/>
    <xf numFmtId="165" fontId="11" fillId="2" borderId="15" xfId="5" applyNumberFormat="1" applyFont="1" applyBorder="1"/>
    <xf numFmtId="0" fontId="5" fillId="6" borderId="13" xfId="0" applyFont="1" applyFill="1" applyBorder="1"/>
    <xf numFmtId="0" fontId="0" fillId="6" borderId="14" xfId="0" applyFill="1" applyBorder="1"/>
    <xf numFmtId="10" fontId="12" fillId="0" borderId="0" xfId="3" applyNumberFormat="1" applyFont="1" applyFill="1"/>
    <xf numFmtId="0" fontId="13" fillId="0" borderId="0" xfId="0" applyFont="1"/>
    <xf numFmtId="164" fontId="13" fillId="0" borderId="0" xfId="1" applyNumberFormat="1" applyFont="1" applyFill="1"/>
    <xf numFmtId="10" fontId="13" fillId="0" borderId="0" xfId="3" applyNumberFormat="1" applyFont="1" applyFill="1"/>
    <xf numFmtId="0" fontId="8" fillId="0" borderId="11" xfId="0" applyFont="1" applyBorder="1" applyAlignment="1">
      <alignment horizontal="center"/>
    </xf>
    <xf numFmtId="0" fontId="13" fillId="0" borderId="2" xfId="0" applyFont="1" applyBorder="1"/>
    <xf numFmtId="164" fontId="13" fillId="0" borderId="2" xfId="1" applyNumberFormat="1" applyFont="1" applyFill="1" applyBorder="1"/>
    <xf numFmtId="10" fontId="13" fillId="0" borderId="2" xfId="3" applyNumberFormat="1" applyFont="1" applyFill="1" applyBorder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5" fillId="3" borderId="0" xfId="0" applyFont="1" applyFill="1"/>
    <xf numFmtId="0" fontId="17" fillId="3" borderId="0" xfId="6" applyFont="1" applyFill="1"/>
    <xf numFmtId="0" fontId="18" fillId="3" borderId="0" xfId="6" applyFont="1" applyFill="1"/>
    <xf numFmtId="0" fontId="19" fillId="3" borderId="0" xfId="0" applyFont="1" applyFill="1"/>
  </cellXfs>
  <cellStyles count="7">
    <cellStyle name="Comma" xfId="1" builtinId="3"/>
    <cellStyle name="Currency" xfId="2" builtinId="4"/>
    <cellStyle name="Hyperlink" xfId="6" builtinId="8"/>
    <cellStyle name="Input" xfId="5" builtinId="20"/>
    <cellStyle name="Normal" xfId="0" builtinId="0"/>
    <cellStyle name="Percent" xfId="3" builtinId="5"/>
    <cellStyle name="Title" xfId="4" builtinId="15"/>
  </cellStyles>
  <dxfs count="157">
    <dxf>
      <font>
        <i/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  <numFmt numFmtId="164" formatCode="_(* #,##0_);_(* \(#,##0\);_(* &quot;-&quot;??_);_(@_)"/>
    </dxf>
    <dxf>
      <font>
        <i/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4" formatCode="0.00%"/>
      <border diagonalUp="0" diagonalDown="0" outline="0">
        <left/>
        <right style="medium">
          <color auto="1"/>
        </right>
        <top/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 outline="0">
        <left/>
        <right/>
        <top/>
        <bottom style="medium">
          <color auto="1"/>
        </bottom>
      </border>
    </dxf>
    <dxf>
      <numFmt numFmtId="164" formatCode="_(* #,##0_);_(* \(#,##0\);_(* &quot;-&quot;??_);_(@_)"/>
      <border diagonalUp="0" diagonalDown="0" outline="0">
        <left/>
        <right/>
        <top/>
        <bottom style="medium">
          <color auto="1"/>
        </bottom>
      </border>
    </dxf>
    <dxf>
      <border diagonalUp="0" diagonalDown="0" outline="0">
        <left/>
        <right/>
        <top/>
        <bottom style="medium">
          <color auto="1"/>
        </bottom>
      </border>
    </dxf>
    <dxf>
      <border diagonalUp="0" diagonalDown="0" outline="0">
        <left/>
        <right/>
        <top/>
        <bottom style="medium">
          <color auto="1"/>
        </bottom>
      </border>
    </dxf>
    <dxf>
      <border diagonalUp="0" diagonalDown="0" outline="0">
        <left/>
        <right/>
        <top/>
        <bottom style="medium">
          <color auto="1"/>
        </bottom>
      </border>
    </dxf>
    <dxf>
      <border diagonalUp="0" diagonalDown="0" outline="0">
        <left style="medium">
          <color auto="1"/>
        </left>
        <right/>
        <top/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 style="medium">
          <color auto="1"/>
        </bottom>
      </border>
    </dxf>
    <dxf>
      <numFmt numFmtId="14" formatCode="0.00%"/>
      <border diagonalUp="0" diagonalDown="0" outline="0">
        <left/>
        <right/>
        <top/>
        <bottom style="medium">
          <color auto="1"/>
        </bottom>
      </border>
    </dxf>
    <dxf>
      <numFmt numFmtId="164" formatCode="_(* #,##0_);_(* \(#,##0\);_(* &quot;-&quot;??_);_(@_)"/>
      <border diagonalUp="0" diagonalDown="0" outline="0">
        <left/>
        <right/>
        <top/>
        <bottom style="medium">
          <color auto="1"/>
        </bottom>
      </border>
    </dxf>
    <dxf>
      <numFmt numFmtId="165" formatCode="_(&quot;$&quot;* #,##0_);_(&quot;$&quot;* \(#,##0\);_(&quot;$&quot;* &quot;-&quot;??_);_(@_)"/>
      <border diagonalUp="0" diagonalDown="0" outline="0">
        <left/>
        <right/>
        <top/>
        <bottom style="medium">
          <color auto="1"/>
        </bottom>
      </border>
    </dxf>
    <dxf>
      <numFmt numFmtId="165" formatCode="_(&quot;$&quot;* #,##0_);_(&quot;$&quot;* \(#,##0\);_(&quot;$&quot;* &quot;-&quot;??_);_(@_)"/>
      <border diagonalUp="0" diagonalDown="0" outline="0">
        <left/>
        <right/>
        <top/>
        <bottom style="medium">
          <color auto="1"/>
        </bottom>
      </border>
    </dxf>
    <dxf>
      <numFmt numFmtId="165" formatCode="_(&quot;$&quot;* #,##0_);_(&quot;$&quot;* \(#,##0\);_(&quot;$&quot;* &quot;-&quot;??_);_(@_)"/>
      <border diagonalUp="0" diagonalDown="0" outline="0">
        <left/>
        <right/>
        <top/>
        <bottom style="medium">
          <color auto="1"/>
        </bottom>
      </border>
    </dxf>
    <dxf>
      <numFmt numFmtId="14" formatCode="0.00%"/>
      <border diagonalUp="0" diagonalDown="0" outline="0">
        <left style="medium">
          <color auto="1"/>
        </left>
        <right/>
        <top/>
        <bottom style="medium">
          <color auto="1"/>
        </bottom>
      </border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/>
        <right style="medium">
          <color auto="1"/>
        </right>
        <top/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6" formatCode="_(&quot;$&quot;* #,##0.0000_);_(&quot;$&quot;* \(#,##0.0000\);_(&quot;$&quot;* &quot;-&quot;??_);_(@_)"/>
      <fill>
        <patternFill patternType="none">
          <fgColor indexed="64"/>
          <bgColor indexed="65"/>
        </patternFill>
      </fill>
    </dxf>
    <dxf>
      <numFmt numFmtId="166" formatCode="_(&quot;$&quot;* #,##0.0000_);_(&quot;$&quot;* \(#,##0.0000\);_(&quot;$&quot;* &quot;-&quot;??_);_(@_)"/>
      <fill>
        <patternFill patternType="none">
          <fgColor indexed="64"/>
          <bgColor indexed="65"/>
        </patternFill>
      </fill>
    </dxf>
    <dxf>
      <numFmt numFmtId="166" formatCode="_(&quot;$&quot;* #,##0.0000_);_(&quot;$&quot;* \(#,##0.00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medium">
          <color auto="1"/>
        </left>
        <right/>
        <top/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</dxf>
    <dxf>
      <numFmt numFmtId="14" formatCode="0.00%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6" formatCode="_(&quot;$&quot;* #,##0.0000_);_(&quot;$&quot;* \(#,##0.0000\);_(&quot;$&quot;* &quot;-&quot;??_);_(@_)"/>
      <fill>
        <patternFill patternType="none">
          <fgColor indexed="64"/>
          <bgColor indexed="65"/>
        </patternFill>
      </fill>
    </dxf>
    <dxf>
      <numFmt numFmtId="166" formatCode="_(&quot;$&quot;* #,##0.0000_);_(&quot;$&quot;* \(#,##0.0000\);_(&quot;$&quot;* &quot;-&quot;??_);_(@_)"/>
      <fill>
        <patternFill patternType="none">
          <fgColor indexed="64"/>
          <bgColor indexed="65"/>
        </patternFill>
      </fill>
    </dxf>
    <dxf>
      <numFmt numFmtId="166" formatCode="_(&quot;$&quot;* #,##0.0000_);_(&quot;$&quot;* \(#,##0.0000\);_(&quot;$&quot;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medium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575733</xdr:colOff>
      <xdr:row>1</xdr:row>
      <xdr:rowOff>270931</xdr:rowOff>
    </xdr:from>
    <xdr:to>
      <xdr:col>15</xdr:col>
      <xdr:colOff>355600</xdr:colOff>
      <xdr:row>12</xdr:row>
      <xdr:rowOff>170541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7775C50-B675-B04E-FB4A-250F269152AD}"/>
            </a:ext>
          </a:extLst>
        </xdr:cNvPr>
        <xdr:cNvSpPr/>
      </xdr:nvSpPr>
      <xdr:spPr>
        <a:xfrm>
          <a:off x="7433733" y="455988"/>
          <a:ext cx="7367210" cy="2272696"/>
        </a:xfrm>
        <a:prstGeom prst="roundRect">
          <a:avLst/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885977</xdr:colOff>
      <xdr:row>12</xdr:row>
      <xdr:rowOff>170541</xdr:rowOff>
    </xdr:from>
    <xdr:to>
      <xdr:col>11</xdr:col>
      <xdr:colOff>514652</xdr:colOff>
      <xdr:row>16</xdr:row>
      <xdr:rowOff>177800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88703E6C-BBE3-2E8B-EFAE-E64EEF9F440C}"/>
            </a:ext>
          </a:extLst>
        </xdr:cNvPr>
        <xdr:cNvCxnSpPr>
          <a:cxnSpLocks/>
          <a:stCxn id="3" idx="2"/>
          <a:endCxn id="37" idx="0"/>
        </xdr:cNvCxnSpPr>
      </xdr:nvCxnSpPr>
      <xdr:spPr>
        <a:xfrm flipH="1">
          <a:off x="3727148" y="2728684"/>
          <a:ext cx="7390190" cy="7474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1075267</xdr:colOff>
      <xdr:row>16</xdr:row>
      <xdr:rowOff>177800</xdr:rowOff>
    </xdr:from>
    <xdr:to>
      <xdr:col>6</xdr:col>
      <xdr:colOff>0</xdr:colOff>
      <xdr:row>26</xdr:row>
      <xdr:rowOff>42333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06B6711F-AAFF-2A28-6AFE-97E9C81911A5}"/>
            </a:ext>
          </a:extLst>
        </xdr:cNvPr>
        <xdr:cNvSpPr/>
      </xdr:nvSpPr>
      <xdr:spPr>
        <a:xfrm>
          <a:off x="1507067" y="3445933"/>
          <a:ext cx="4436533" cy="2108200"/>
        </a:xfrm>
        <a:prstGeom prst="roundRect">
          <a:avLst/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220132</xdr:colOff>
      <xdr:row>32</xdr:row>
      <xdr:rowOff>59267</xdr:rowOff>
    </xdr:from>
    <xdr:to>
      <xdr:col>12</xdr:col>
      <xdr:colOff>211666</xdr:colOff>
      <xdr:row>40</xdr:row>
      <xdr:rowOff>8467</xdr:rowOff>
    </xdr:to>
    <xdr:sp macro="" textlink="">
      <xdr:nvSpPr>
        <xdr:cNvPr id="41" name="Rectangle: Rounded Corners 40">
          <a:extLst>
            <a:ext uri="{FF2B5EF4-FFF2-40B4-BE49-F238E27FC236}">
              <a16:creationId xmlns:a16="http://schemas.microsoft.com/office/drawing/2014/main" id="{1AFCE3C2-25DD-1959-22CD-43C7E542E359}"/>
            </a:ext>
          </a:extLst>
        </xdr:cNvPr>
        <xdr:cNvSpPr/>
      </xdr:nvSpPr>
      <xdr:spPr>
        <a:xfrm>
          <a:off x="220132" y="6688667"/>
          <a:ext cx="11480801" cy="1625600"/>
        </a:xfrm>
        <a:prstGeom prst="roundRect">
          <a:avLst/>
        </a:prstGeom>
        <a:noFill/>
        <a:ln w="28575">
          <a:solidFill>
            <a:schemeClr val="accent4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203200</xdr:colOff>
      <xdr:row>60</xdr:row>
      <xdr:rowOff>1</xdr:rowOff>
    </xdr:from>
    <xdr:to>
      <xdr:col>10</xdr:col>
      <xdr:colOff>321733</xdr:colOff>
      <xdr:row>95</xdr:row>
      <xdr:rowOff>118534</xdr:rowOff>
    </xdr:to>
    <xdr:sp macro="" textlink="">
      <xdr:nvSpPr>
        <xdr:cNvPr id="42" name="Rectangle: Rounded Corners 41">
          <a:extLst>
            <a:ext uri="{FF2B5EF4-FFF2-40B4-BE49-F238E27FC236}">
              <a16:creationId xmlns:a16="http://schemas.microsoft.com/office/drawing/2014/main" id="{189ABBD9-D9BD-513F-C9B4-A502CC714B56}"/>
            </a:ext>
          </a:extLst>
        </xdr:cNvPr>
        <xdr:cNvSpPr/>
      </xdr:nvSpPr>
      <xdr:spPr>
        <a:xfrm>
          <a:off x="203200" y="11294534"/>
          <a:ext cx="9897533" cy="6654800"/>
        </a:xfrm>
        <a:prstGeom prst="roundRect">
          <a:avLst>
            <a:gd name="adj" fmla="val 3054"/>
          </a:avLst>
        </a:prstGeom>
        <a:noFill/>
        <a:ln w="28575">
          <a:solidFill>
            <a:schemeClr val="accent4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17</xdr:row>
      <xdr:rowOff>8467</xdr:rowOff>
    </xdr:from>
    <xdr:to>
      <xdr:col>13</xdr:col>
      <xdr:colOff>8467</xdr:colOff>
      <xdr:row>26</xdr:row>
      <xdr:rowOff>33867</xdr:rowOff>
    </xdr:to>
    <xdr:sp macro="" textlink="">
      <xdr:nvSpPr>
        <xdr:cNvPr id="43" name="Rectangle: Rounded Corners 42">
          <a:extLst>
            <a:ext uri="{FF2B5EF4-FFF2-40B4-BE49-F238E27FC236}">
              <a16:creationId xmlns:a16="http://schemas.microsoft.com/office/drawing/2014/main" id="{C230F26B-F279-4F2C-8B42-6F6CDF0E4331}"/>
            </a:ext>
          </a:extLst>
        </xdr:cNvPr>
        <xdr:cNvSpPr/>
      </xdr:nvSpPr>
      <xdr:spPr>
        <a:xfrm>
          <a:off x="5943600" y="3462867"/>
          <a:ext cx="6400800" cy="2082800"/>
        </a:xfrm>
        <a:prstGeom prst="roundRect">
          <a:avLst/>
        </a:prstGeom>
        <a:noFill/>
        <a:ln w="28575">
          <a:solidFill>
            <a:schemeClr val="accent4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10887</xdr:colOff>
      <xdr:row>17</xdr:row>
      <xdr:rowOff>25400</xdr:rowOff>
    </xdr:from>
    <xdr:to>
      <xdr:col>20</xdr:col>
      <xdr:colOff>208038</xdr:colOff>
      <xdr:row>26</xdr:row>
      <xdr:rowOff>16933</xdr:rowOff>
    </xdr:to>
    <xdr:sp macro="" textlink="">
      <xdr:nvSpPr>
        <xdr:cNvPr id="44" name="Rectangle: Rounded Corners 43">
          <a:extLst>
            <a:ext uri="{FF2B5EF4-FFF2-40B4-BE49-F238E27FC236}">
              <a16:creationId xmlns:a16="http://schemas.microsoft.com/office/drawing/2014/main" id="{895441AD-EF2E-447D-AC62-417D37413BF4}"/>
            </a:ext>
          </a:extLst>
        </xdr:cNvPr>
        <xdr:cNvSpPr/>
      </xdr:nvSpPr>
      <xdr:spPr>
        <a:xfrm>
          <a:off x="12344401" y="3508829"/>
          <a:ext cx="7316408" cy="2081590"/>
        </a:xfrm>
        <a:prstGeom prst="roundRect">
          <a:avLst/>
        </a:prstGeom>
        <a:noFill/>
        <a:ln w="28575">
          <a:solidFill>
            <a:schemeClr val="accent5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541866</xdr:colOff>
      <xdr:row>32</xdr:row>
      <xdr:rowOff>8467</xdr:rowOff>
    </xdr:from>
    <xdr:to>
      <xdr:col>22</xdr:col>
      <xdr:colOff>567266</xdr:colOff>
      <xdr:row>55</xdr:row>
      <xdr:rowOff>67733</xdr:rowOff>
    </xdr:to>
    <xdr:sp macro="" textlink="">
      <xdr:nvSpPr>
        <xdr:cNvPr id="45" name="Rectangle: Rounded Corners 44">
          <a:extLst>
            <a:ext uri="{FF2B5EF4-FFF2-40B4-BE49-F238E27FC236}">
              <a16:creationId xmlns:a16="http://schemas.microsoft.com/office/drawing/2014/main" id="{2115044C-1EA9-7898-3A2E-8387CC66C93D}"/>
            </a:ext>
          </a:extLst>
        </xdr:cNvPr>
        <xdr:cNvSpPr/>
      </xdr:nvSpPr>
      <xdr:spPr>
        <a:xfrm>
          <a:off x="12031133" y="6637867"/>
          <a:ext cx="9220200" cy="4538133"/>
        </a:xfrm>
        <a:prstGeom prst="roundRect">
          <a:avLst>
            <a:gd name="adj" fmla="val 8003"/>
          </a:avLst>
        </a:prstGeom>
        <a:noFill/>
        <a:ln w="28575">
          <a:solidFill>
            <a:schemeClr val="accent5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474131</xdr:colOff>
      <xdr:row>59</xdr:row>
      <xdr:rowOff>177802</xdr:rowOff>
    </xdr:from>
    <xdr:to>
      <xdr:col>23</xdr:col>
      <xdr:colOff>33864</xdr:colOff>
      <xdr:row>95</xdr:row>
      <xdr:rowOff>110068</xdr:rowOff>
    </xdr:to>
    <xdr:sp macro="" textlink="">
      <xdr:nvSpPr>
        <xdr:cNvPr id="47" name="Rectangle: Rounded Corners 46">
          <a:extLst>
            <a:ext uri="{FF2B5EF4-FFF2-40B4-BE49-F238E27FC236}">
              <a16:creationId xmlns:a16="http://schemas.microsoft.com/office/drawing/2014/main" id="{DDD4B820-E35D-446C-B858-C3697E7AA292}"/>
            </a:ext>
          </a:extLst>
        </xdr:cNvPr>
        <xdr:cNvSpPr/>
      </xdr:nvSpPr>
      <xdr:spPr>
        <a:xfrm>
          <a:off x="11963398" y="12031135"/>
          <a:ext cx="9364133" cy="6654800"/>
        </a:xfrm>
        <a:prstGeom prst="roundRect">
          <a:avLst>
            <a:gd name="adj" fmla="val 3054"/>
          </a:avLst>
        </a:prstGeom>
        <a:noFill/>
        <a:ln w="28575">
          <a:solidFill>
            <a:schemeClr val="accent5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889001</xdr:colOff>
      <xdr:row>26</xdr:row>
      <xdr:rowOff>42333</xdr:rowOff>
    </xdr:from>
    <xdr:to>
      <xdr:col>3</xdr:col>
      <xdr:colOff>897467</xdr:colOff>
      <xdr:row>32</xdr:row>
      <xdr:rowOff>50800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F3EA2BE3-5894-91B5-FD66-9E44134645D4}"/>
            </a:ext>
          </a:extLst>
        </xdr:cNvPr>
        <xdr:cNvCxnSpPr>
          <a:stCxn id="37" idx="2"/>
        </xdr:cNvCxnSpPr>
      </xdr:nvCxnSpPr>
      <xdr:spPr>
        <a:xfrm>
          <a:off x="3725334" y="5554133"/>
          <a:ext cx="8466" cy="1126067"/>
        </a:xfrm>
        <a:prstGeom prst="straightConnector1">
          <a:avLst/>
        </a:prstGeom>
        <a:ln w="28575">
          <a:solidFill>
            <a:schemeClr val="accent4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889001</xdr:colOff>
      <xdr:row>26</xdr:row>
      <xdr:rowOff>42333</xdr:rowOff>
    </xdr:from>
    <xdr:to>
      <xdr:col>17</xdr:col>
      <xdr:colOff>63500</xdr:colOff>
      <xdr:row>32</xdr:row>
      <xdr:rowOff>8467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1E928C98-E2FC-031F-6051-12F6153306BB}"/>
            </a:ext>
          </a:extLst>
        </xdr:cNvPr>
        <xdr:cNvCxnSpPr>
          <a:stCxn id="37" idx="2"/>
          <a:endCxn id="45" idx="0"/>
        </xdr:cNvCxnSpPr>
      </xdr:nvCxnSpPr>
      <xdr:spPr>
        <a:xfrm>
          <a:off x="3725334" y="5554133"/>
          <a:ext cx="12915899" cy="1083734"/>
        </a:xfrm>
        <a:prstGeom prst="straightConnector1">
          <a:avLst/>
        </a:prstGeom>
        <a:ln w="28575">
          <a:solidFill>
            <a:schemeClr val="accent5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889000</xdr:colOff>
      <xdr:row>40</xdr:row>
      <xdr:rowOff>8467</xdr:rowOff>
    </xdr:from>
    <xdr:to>
      <xdr:col>3</xdr:col>
      <xdr:colOff>889000</xdr:colOff>
      <xdr:row>59</xdr:row>
      <xdr:rowOff>169334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D722A99A-D3FC-44EA-84DB-07A51C8E1BC5}"/>
            </a:ext>
          </a:extLst>
        </xdr:cNvPr>
        <xdr:cNvCxnSpPr/>
      </xdr:nvCxnSpPr>
      <xdr:spPr>
        <a:xfrm>
          <a:off x="3725333" y="8314267"/>
          <a:ext cx="0" cy="3708400"/>
        </a:xfrm>
        <a:prstGeom prst="straightConnector1">
          <a:avLst/>
        </a:prstGeom>
        <a:ln w="28575">
          <a:solidFill>
            <a:schemeClr val="accent4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63500</xdr:colOff>
      <xdr:row>55</xdr:row>
      <xdr:rowOff>67733</xdr:rowOff>
    </xdr:from>
    <xdr:to>
      <xdr:col>17</xdr:col>
      <xdr:colOff>67732</xdr:colOff>
      <xdr:row>59</xdr:row>
      <xdr:rowOff>177802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A7558556-1196-4BEE-8B8C-C67E9EBDC0E9}"/>
            </a:ext>
          </a:extLst>
        </xdr:cNvPr>
        <xdr:cNvCxnSpPr>
          <a:stCxn id="45" idx="2"/>
          <a:endCxn id="47" idx="0"/>
        </xdr:cNvCxnSpPr>
      </xdr:nvCxnSpPr>
      <xdr:spPr>
        <a:xfrm>
          <a:off x="16641233" y="11176000"/>
          <a:ext cx="4232" cy="855135"/>
        </a:xfrm>
        <a:prstGeom prst="straightConnector1">
          <a:avLst/>
        </a:prstGeom>
        <a:ln w="28575">
          <a:solidFill>
            <a:schemeClr val="accent5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380999</xdr:colOff>
      <xdr:row>86</xdr:row>
      <xdr:rowOff>42333</xdr:rowOff>
    </xdr:from>
    <xdr:to>
      <xdr:col>22</xdr:col>
      <xdr:colOff>143932</xdr:colOff>
      <xdr:row>93</xdr:row>
      <xdr:rowOff>33867</xdr:rowOff>
    </xdr:to>
    <xdr:sp macro="" textlink="">
      <xdr:nvSpPr>
        <xdr:cNvPr id="60" name="Speech Bubble: Oval 59">
          <a:extLst>
            <a:ext uri="{FF2B5EF4-FFF2-40B4-BE49-F238E27FC236}">
              <a16:creationId xmlns:a16="http://schemas.microsoft.com/office/drawing/2014/main" id="{FCA361FD-2837-622A-A171-B17952C89E6A}"/>
            </a:ext>
          </a:extLst>
        </xdr:cNvPr>
        <xdr:cNvSpPr/>
      </xdr:nvSpPr>
      <xdr:spPr>
        <a:xfrm>
          <a:off x="18059399" y="16941800"/>
          <a:ext cx="2768600" cy="1295400"/>
        </a:xfrm>
        <a:prstGeom prst="wedgeEllipseCallout">
          <a:avLst>
            <a:gd name="adj1" fmla="val -59977"/>
            <a:gd name="adj2" fmla="val 44894"/>
          </a:avLst>
        </a:prstGeom>
        <a:ln w="28575">
          <a:solidFill>
            <a:schemeClr val="accent5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/>
            <a:t>Equity</a:t>
          </a:r>
          <a:r>
            <a:rPr lang="en-US" sz="1200" baseline="0"/>
            <a:t> value </a:t>
          </a:r>
          <a:r>
            <a:rPr lang="en-US" sz="1200" b="1" baseline="0">
              <a:solidFill>
                <a:schemeClr val="accent6">
                  <a:lumMod val="75000"/>
                </a:schemeClr>
              </a:solidFill>
            </a:rPr>
            <a:t>GAINED</a:t>
          </a:r>
          <a:r>
            <a:rPr lang="en-US" sz="1200" baseline="0"/>
            <a:t> by common holders by using a Series Seed round instead of another post-money SAFE!</a:t>
          </a:r>
          <a:endParaRPr lang="en-US" sz="1200"/>
        </a:p>
      </xdr:txBody>
    </xdr:sp>
    <xdr:clientData/>
  </xdr:twoCellAnchor>
  <xdr:twoCellAnchor>
    <xdr:from>
      <xdr:col>6</xdr:col>
      <xdr:colOff>440267</xdr:colOff>
      <xdr:row>85</xdr:row>
      <xdr:rowOff>177798</xdr:rowOff>
    </xdr:from>
    <xdr:to>
      <xdr:col>9</xdr:col>
      <xdr:colOff>364067</xdr:colOff>
      <xdr:row>94</xdr:row>
      <xdr:rowOff>8467</xdr:rowOff>
    </xdr:to>
    <xdr:sp macro="" textlink="">
      <xdr:nvSpPr>
        <xdr:cNvPr id="61" name="Speech Bubble: Oval 60">
          <a:extLst>
            <a:ext uri="{FF2B5EF4-FFF2-40B4-BE49-F238E27FC236}">
              <a16:creationId xmlns:a16="http://schemas.microsoft.com/office/drawing/2014/main" id="{2110F8B6-B2EF-4F88-AA44-17548D8E79E8}"/>
            </a:ext>
          </a:extLst>
        </xdr:cNvPr>
        <xdr:cNvSpPr/>
      </xdr:nvSpPr>
      <xdr:spPr>
        <a:xfrm>
          <a:off x="6383867" y="16890998"/>
          <a:ext cx="2768600" cy="1507069"/>
        </a:xfrm>
        <a:prstGeom prst="wedgeEllipseCallout">
          <a:avLst>
            <a:gd name="adj1" fmla="val -62729"/>
            <a:gd name="adj2" fmla="val 34473"/>
          </a:avLst>
        </a:prstGeom>
        <a:ln w="28575">
          <a:solidFill>
            <a:schemeClr val="accent4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/>
            <a:t>Equity</a:t>
          </a:r>
          <a:r>
            <a:rPr lang="en-US" sz="1200" baseline="0"/>
            <a:t> value </a:t>
          </a:r>
          <a:r>
            <a:rPr lang="en-US" sz="1200" b="1" baseline="0">
              <a:solidFill>
                <a:srgbClr val="FF0000"/>
              </a:solidFill>
            </a:rPr>
            <a:t>LOST</a:t>
          </a:r>
          <a:r>
            <a:rPr lang="en-US" sz="1200" baseline="0"/>
            <a:t> by common holders by using another post-money SAFE instead of a Series Seed round!</a:t>
          </a:r>
          <a:endParaRPr lang="en-US" sz="1200"/>
        </a:p>
      </xdr:txBody>
    </xdr:sp>
    <xdr:clientData/>
  </xdr:twoCellAnchor>
  <xdr:twoCellAnchor editAs="oneCell">
    <xdr:from>
      <xdr:col>9</xdr:col>
      <xdr:colOff>355599</xdr:colOff>
      <xdr:row>91</xdr:row>
      <xdr:rowOff>0</xdr:rowOff>
    </xdr:from>
    <xdr:to>
      <xdr:col>10</xdr:col>
      <xdr:colOff>16932</xdr:colOff>
      <xdr:row>94</xdr:row>
      <xdr:rowOff>93133</xdr:rowOff>
    </xdr:to>
    <xdr:pic>
      <xdr:nvPicPr>
        <xdr:cNvPr id="63" name="Graphic 62" descr="Sad face outline with solid fill">
          <a:extLst>
            <a:ext uri="{FF2B5EF4-FFF2-40B4-BE49-F238E27FC236}">
              <a16:creationId xmlns:a16="http://schemas.microsoft.com/office/drawing/2014/main" id="{A51D9BF8-072A-6B42-0B67-18568EE56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43999" y="17830800"/>
          <a:ext cx="651933" cy="651933"/>
        </a:xfrm>
        <a:prstGeom prst="rect">
          <a:avLst/>
        </a:prstGeom>
      </xdr:spPr>
    </xdr:pic>
    <xdr:clientData/>
  </xdr:twoCellAnchor>
  <xdr:twoCellAnchor editAs="oneCell">
    <xdr:from>
      <xdr:col>21</xdr:col>
      <xdr:colOff>465666</xdr:colOff>
      <xdr:row>91</xdr:row>
      <xdr:rowOff>59267</xdr:rowOff>
    </xdr:from>
    <xdr:to>
      <xdr:col>22</xdr:col>
      <xdr:colOff>550333</xdr:colOff>
      <xdr:row>95</xdr:row>
      <xdr:rowOff>8467</xdr:rowOff>
    </xdr:to>
    <xdr:pic>
      <xdr:nvPicPr>
        <xdr:cNvPr id="65" name="Graphic 64" descr="Sunglasses face outline with solid fill">
          <a:extLst>
            <a:ext uri="{FF2B5EF4-FFF2-40B4-BE49-F238E27FC236}">
              <a16:creationId xmlns:a16="http://schemas.microsoft.com/office/drawing/2014/main" id="{64C7D28C-1584-AA38-D228-E75A50000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0540133" y="17890067"/>
          <a:ext cx="694267" cy="6942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6661C7-775F-4354-B804-2EA3FB6B42E3}" name="PreFinancingCapTable" displayName="PreFinancingCapTable" ref="I6:O11" totalsRowCount="1" headerRowDxfId="156" dataDxfId="155" totalsRowDxfId="154">
  <autoFilter ref="I6:O10" xr:uid="{606661C7-775F-4354-B804-2EA3FB6B42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DB562AA-84A0-49A1-98BC-B34A40DA7E41}" name="Holders" totalsRowLabel="Total" dataDxfId="153" totalsRowDxfId="152"/>
    <tableColumn id="2" xr3:uid="{E8B13B95-85C4-4317-AE65-94F94F32EA6C}" name="Common Stock" totalsRowFunction="sum" dataDxfId="151" totalsRowDxfId="150" dataCellStyle="Comma" totalsRowCellStyle="Comma"/>
    <tableColumn id="3" xr3:uid="{D8667BF0-5DA5-4BFC-88D5-EADBEBF5B68D}" name="Options" totalsRowFunction="sum" dataDxfId="149" totalsRowDxfId="148" dataCellStyle="Comma" totalsRowCellStyle="Comma"/>
    <tableColumn id="4" xr3:uid="{30813330-6562-455A-8889-C93E6F76AA9B}" name="Total Stock O/S" totalsRowFunction="sum" dataDxfId="147" totalsRowDxfId="146" dataCellStyle="Comma" totalsRowCellStyle="Comma">
      <calculatedColumnFormula>PreFinancingCapTable[[#This Row],[Common Stock]]</calculatedColumnFormula>
    </tableColumn>
    <tableColumn id="5" xr3:uid="{5B1541FB-BB96-4C8E-B05A-22A86CA216B2}" name="Total Stock (FD)" totalsRowFunction="sum" dataDxfId="145" totalsRowDxfId="144" dataCellStyle="Comma" totalsRowCellStyle="Comma">
      <calculatedColumnFormula>SUM(PreFinancingCapTable[[#This Row],[Common Stock]:[Options]])</calculatedColumnFormula>
    </tableColumn>
    <tableColumn id="6" xr3:uid="{79A4A108-A3E2-49B0-B8C8-EE79E6DDFD34}" name="% O/S" totalsRowFunction="sum" dataDxfId="143" totalsRowDxfId="142" dataCellStyle="Percent" totalsRowCellStyle="Percent">
      <calculatedColumnFormula>PreFinancingCapTable[[#This Row],[Total Stock O/S]]/PreFinancingCapTable[[#Totals],[Total Stock O/S]]</calculatedColumnFormula>
    </tableColumn>
    <tableColumn id="7" xr3:uid="{2FFD1BE4-8293-49F1-988E-6EEC763B9267}" name="% FD" totalsRowFunction="sum" dataDxfId="141" totalsRowDxfId="140" dataCellStyle="Percent" totalsRowCellStyle="Percent">
      <calculatedColumnFormula>PreFinancingCapTable[[#This Row],[Total Stock (FD)]]/PreFinancingCapTable[[#Totals],[Total Stock (FD)]]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DD49CB-5565-462A-9E2D-117CADAE4E12}" name="InitialSAFERounds" displayName="InitialSAFERounds" ref="C21:T24" totalsRowCount="1" headerRowDxfId="139" dataDxfId="138" totalsRowDxfId="137">
  <autoFilter ref="C21:T23" xr:uid="{7DDD49CB-5565-462A-9E2D-117CADAE4E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D6E69F8-F7AE-4FA8-9B9F-9AE94A3ACE5E}" name="SAFE holders" totalsRowLabel="Total" dataDxfId="136"/>
    <tableColumn id="2" xr3:uid="{63732ED0-5F99-472C-A519-EE4D61225D02}" name="Amount" totalsRowFunction="sum" dataDxfId="135" totalsRowDxfId="27" dataCellStyle="Currency"/>
    <tableColumn id="3" xr3:uid="{DD8A8FE1-9672-41E9-B7EB-650EB843A268}" name="Post-money cap" dataDxfId="134" totalsRowDxfId="26" dataCellStyle="Currency"/>
    <tableColumn id="4" xr3:uid="{51CAA000-261E-4A52-96B9-7AB8BAD75EF1}" name="Discount" dataDxfId="133" dataCellStyle="Percent"/>
    <tableColumn id="5" xr3:uid="{D4651EE6-117B-4E14-8252-F6761442AD88}" name="Company Capitalization (A)" dataDxfId="132" totalsRowDxfId="25" dataCellStyle="Comma">
      <calculatedColumnFormula>A1PreMoneyCapitalization-A1PoolSharesAdded</calculatedColumnFormula>
    </tableColumn>
    <tableColumn id="6" xr3:uid="{833CED41-1659-4064-BC11-D8C93CE1145D}" name="Discount Price (A)" dataDxfId="131" totalsRowDxfId="24" dataCellStyle="Currency">
      <calculatedColumnFormula>ROUND((1-InitialSAFERounds[[#This Row],[Discount]])*A1NewMoneyPrice,4)</calculatedColumnFormula>
    </tableColumn>
    <tableColumn id="7" xr3:uid="{C0AB72BA-66CD-4CCB-84BD-EECA593416CA}" name="Valuation Cap Price (A)" dataDxfId="130" totalsRowDxfId="23" dataCellStyle="Currency">
      <calculatedColumnFormula>IFERROR(ROUND(InitialSAFERounds[[#This Row],[Post-money cap]]/InitialSAFERounds[[#This Row],[Company Capitalization (A)]],4),0)</calculatedColumnFormula>
    </tableColumn>
    <tableColumn id="8" xr3:uid="{EDB4549E-E939-4872-88F1-127764D6DF34}" name="Final Conversion Price (A)" dataDxfId="129" totalsRowDxfId="22" dataCellStyle="Currency">
      <calculatedColumnFormula>MIN(InitialSAFERounds[[#This Row],[Discount Price (A)]:[Valuation Cap Price (A)]],A1NewMoneyPrice)</calculatedColumnFormula>
    </tableColumn>
    <tableColumn id="9" xr3:uid="{E5FBC77C-85BE-45D0-B46F-CAAA50B742CD}" name="Conversion Shares (A)" totalsRowFunction="sum" dataDxfId="128" totalsRowDxfId="21" dataCellStyle="Comma">
      <calculatedColumnFormula>IFERROR(ROUNDDOWN(InitialSAFERounds[[#This Row],[Amount]]/InitialSAFERounds[[#This Row],[Final Conversion Price (A)]],0),0)</calculatedColumnFormula>
    </tableColumn>
    <tableColumn id="10" xr3:uid="{127CCBD8-4A93-4805-95E9-1D53152206F7}" name="FD Pre-financing (A)" totalsRowFunction="sum" dataDxfId="127" totalsRowDxfId="20" dataCellStyle="Percent">
      <calculatedColumnFormula>InitialSAFERounds[[#This Row],[Conversion Shares (A)]]/InitialSAFERounds[[#This Row],[Company Capitalization (A)]]</calculatedColumnFormula>
    </tableColumn>
    <tableColumn id="11" xr3:uid="{5EEA09DA-FB22-49C3-A050-1E6D5E961646}" name="FD Post-financing (A)" totalsRowFunction="sum" dataDxfId="126" totalsRowDxfId="19" dataCellStyle="Percent" totalsRowCellStyle="Percent">
      <calculatedColumnFormula>InitialSAFERounds[[#This Row],[Conversion Shares (A)]]/A1FDPostMoneyShares</calculatedColumnFormula>
    </tableColumn>
    <tableColumn id="19" xr3:uid="{F7F7D70A-F3BB-4353-8C15-489C4B0CB2F5}" name="Company Capitalization (Seed)" dataDxfId="125" totalsRowDxfId="18" dataCellStyle="Percent">
      <calculatedColumnFormula>SeedPreMoneyCapitalization-SeedPoolSharesAdded</calculatedColumnFormula>
    </tableColumn>
    <tableColumn id="13" xr3:uid="{CBCF55AB-05CC-40B4-BA04-2003CA20882C}" name="Discount Price (Seed)" dataDxfId="124" totalsRowDxfId="17" dataCellStyle="Currency">
      <calculatedColumnFormula>(1-InitialSAFERounds[[#This Row],[Discount]])*SeedNewMoneyPrice</calculatedColumnFormula>
    </tableColumn>
    <tableColumn id="14" xr3:uid="{9E4127F8-5FBF-4B15-80EF-40501F8F6B97}" name="Valuation Cap Price (Seed)" dataDxfId="123" totalsRowDxfId="16" dataCellStyle="Currency">
      <calculatedColumnFormula>IFERROR(ROUND(InitialSAFERounds[[#This Row],[Post-money cap]]/InitialSAFERounds[[#This Row],[Company Capitalization (Seed)]],4),0)</calculatedColumnFormula>
    </tableColumn>
    <tableColumn id="15" xr3:uid="{BB83973D-2651-4B2E-88B9-89EBAEA6BC87}" name="Final Conversion Price (Seed)" dataDxfId="122" totalsRowDxfId="15" dataCellStyle="Currency">
      <calculatedColumnFormula>MIN(InitialSAFERounds[[#This Row],[Discount Price (Seed)]:[Valuation Cap Price (Seed)]],SeedNewMoneyPrice)</calculatedColumnFormula>
    </tableColumn>
    <tableColumn id="16" xr3:uid="{36AD7F5A-AEF6-45A1-916C-57C54E9CCC7B}" name="Conversion Shares (Seed)" totalsRowFunction="sum" dataDxfId="121" totalsRowDxfId="14" dataCellStyle="Comma">
      <calculatedColumnFormula>IFERROR(ROUNDDOWN(InitialSAFERounds[[#This Row],[Amount]]/InitialSAFERounds[[#This Row],[Final Conversion Price (Seed)]],0),0)</calculatedColumnFormula>
    </tableColumn>
    <tableColumn id="17" xr3:uid="{59DC4F71-006B-440F-9F0D-C7FF6AE0499A}" name="FD Pre-financing (Seed)" totalsRowFunction="sum" dataDxfId="120" totalsRowDxfId="13" dataCellStyle="Percent">
      <calculatedColumnFormula>InitialSAFERounds[[#This Row],[Conversion Shares (Seed)]]/InitialSAFERounds[[#This Row],[Company Capitalization (Seed)]]</calculatedColumnFormula>
    </tableColumn>
    <tableColumn id="18" xr3:uid="{3570E148-3653-4F44-B252-F3624A12E37E}" name="FD Post-financing (Seed)" totalsRowFunction="sum" dataDxfId="119" totalsRowDxfId="12" dataCellStyle="Percent">
      <calculatedColumnFormula>InitialSAFERounds[[#This Row],[Conversion Shares (Seed)]]/SeedFDPostMoneyShares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71B357-F2B9-47CD-B7C1-F505EEE5F1A9}" name="SecondSafeRound" displayName="SecondSafeRound" ref="B36:L38" totalsRowCount="1" headerRowDxfId="118" dataDxfId="117" totalsRowDxfId="116">
  <autoFilter ref="B36:L37" xr:uid="{A171B357-F2B9-47CD-B7C1-F505EEE5F1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6B8B90D-93FA-4684-9078-D16263786EED}" name="SAFE holder" totalsRowLabel="Total" dataDxfId="115" totalsRowDxfId="50"/>
    <tableColumn id="2" xr3:uid="{A22BBD84-C706-48D7-9CE1-5B09C09415F7}" name="Amount" totalsRowFunction="sum" dataDxfId="114" totalsRowDxfId="49" dataCellStyle="Currency" totalsRowCellStyle="Currency">
      <calculatedColumnFormula>SeedNewMoney</calculatedColumnFormula>
    </tableColumn>
    <tableColumn id="3" xr3:uid="{0A82752D-7621-417C-8055-3E5739BFCD7F}" name="Post-money cap" dataDxfId="113" totalsRowDxfId="48" dataCellStyle="Currency" totalsRowCellStyle="Currency">
      <calculatedColumnFormula>SeedPostMoneyValuation</calculatedColumnFormula>
    </tableColumn>
    <tableColumn id="4" xr3:uid="{02DDFF57-B33E-4142-8D06-B43BD7723D38}" name="Discount" dataDxfId="112" totalsRowDxfId="47" dataCellStyle="Percent"/>
    <tableColumn id="5" xr3:uid="{D3F362E7-70B6-4805-AC62-21926861E7B8}" name="Company Capitalization" dataDxfId="111" totalsRowDxfId="46">
      <calculatedColumnFormula>A1PreMoneyCapitalization-A1PoolSharesAdded</calculatedColumnFormula>
    </tableColumn>
    <tableColumn id="6" xr3:uid="{E717AD96-BFB0-4F3C-9EE0-B1734A693D0C}" name="Discount Price" dataDxfId="110" totalsRowDxfId="45" dataCellStyle="Currency">
      <calculatedColumnFormula>(1-SecondSafeRound[[#This Row],[Discount]])*A1NewMoneyPrice</calculatedColumnFormula>
    </tableColumn>
    <tableColumn id="7" xr3:uid="{6776E52E-9269-4D6A-BFBC-BAB7EA377622}" name="Valuation Cap Price" dataDxfId="109" totalsRowDxfId="44" dataCellStyle="Currency">
      <calculatedColumnFormula>IFERROR(ROUND(SecondSafeRound[[#This Row],[Post-money cap]]/SecondSafeRound[[#This Row],[Company Capitalization]],4),0)</calculatedColumnFormula>
    </tableColumn>
    <tableColumn id="8" xr3:uid="{D53528B9-26CE-47B8-A260-C62D1D79FD65}" name="Final Conversion Price" dataDxfId="108" totalsRowDxfId="43" dataCellStyle="Currency">
      <calculatedColumnFormula>MIN(SecondSafeRound[[#This Row],[Discount Price]:[Valuation Cap Price]],A1NewMoneyPrice)</calculatedColumnFormula>
    </tableColumn>
    <tableColumn id="9" xr3:uid="{4026CD74-073A-400E-88AC-8CF9C0C95F3C}" name="Conversion Shares" totalsRowFunction="sum" dataDxfId="107" totalsRowDxfId="42" dataCellStyle="Comma">
      <calculatedColumnFormula>IFERROR(ROUNDDOWN(SecondSafeRound[[#This Row],[Amount]]/SecondSafeRound[[#This Row],[Final Conversion Price]],0),0)</calculatedColumnFormula>
    </tableColumn>
    <tableColumn id="10" xr3:uid="{3A34454F-8742-4003-812E-E7212A2B6B0C}" name="FD Pre-financing" totalsRowFunction="sum" dataDxfId="106" totalsRowDxfId="41" dataCellStyle="Percent" totalsRowCellStyle="Percent">
      <calculatedColumnFormula>SecondSafeRound[[#This Row],[Conversion Shares]]/SecondSafeRound[[#This Row],[Company Capitalization]]</calculatedColumnFormula>
    </tableColumn>
    <tableColumn id="11" xr3:uid="{1F67E403-B572-4968-B27D-30AEA6AD4A53}" name="FD Post-financing" totalsRowFunction="sum" dataDxfId="105" totalsRowDxfId="40" dataCellStyle="Percent" totalsRowCellStyle="Percent">
      <calculatedColumnFormula>SecondSafeRound[[#This Row],[Conversion Shares]]/A1FDPostMoneyShares</calculatedColumnFormula>
    </tableColumn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5A458F-5EC4-4698-ACAE-E49B630EEDF2}" name="PostSeriesSeedCapTable" displayName="PostSeriesSeedCapTable" ref="N46:U54" totalsRowCount="1" headerRowDxfId="104" dataDxfId="103">
  <autoFilter ref="N46:U53" xr:uid="{AE5A458F-5EC4-4698-ACAE-E49B630EED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8D2D4E4-FFCA-4212-881E-28120DF661F8}" name="Holders" totalsRowLabel="Total" dataDxfId="102" totalsRowDxfId="101"/>
    <tableColumn id="2" xr3:uid="{05A16A69-0556-4DC4-8B46-148DD8A80736}" name="Common Stock" totalsRowFunction="sum" dataDxfId="100" totalsRowDxfId="99" dataCellStyle="Comma" totalsRowCellStyle="Comma"/>
    <tableColumn id="3" xr3:uid="{15D3804B-FF00-4448-9176-EE791035306D}" name="Options" totalsRowFunction="sum" dataDxfId="98" totalsRowDxfId="97" dataCellStyle="Comma" totalsRowCellStyle="Comma"/>
    <tableColumn id="4" xr3:uid="{5AFCDC2B-DCD7-46DE-A95E-6E59523E9CE0}" name="Series Seed" totalsRowFunction="sum" dataDxfId="96" totalsRowDxfId="95" dataCellStyle="Comma" totalsRowCellStyle="Comma"/>
    <tableColumn id="5" xr3:uid="{1F58DF1C-7BF2-45F6-8658-0427DE8D2730}" name="Total O/S" totalsRowFunction="sum" dataDxfId="94" totalsRowDxfId="93" dataCellStyle="Comma" totalsRowCellStyle="Comma">
      <calculatedColumnFormula>SUM(PostSeriesSeedCapTable[[#This Row],[Common Stock]],PostSeriesSeedCapTable[[#This Row],[Series Seed]])</calculatedColumnFormula>
    </tableColumn>
    <tableColumn id="6" xr3:uid="{B8629F0A-D016-4BA4-8C65-E3063422CC96}" name="Total FD" totalsRowFunction="sum" dataDxfId="92" totalsRowDxfId="91" dataCellStyle="Comma" totalsRowCellStyle="Comma">
      <calculatedColumnFormula>SUM(PostSeriesSeedCapTable[[#This Row],[Common Stock]:[Series Seed]])</calculatedColumnFormula>
    </tableColumn>
    <tableColumn id="7" xr3:uid="{D201A424-6827-46D9-864F-357E51626694}" name="% O/S" totalsRowFunction="sum" dataDxfId="90" totalsRowDxfId="89" dataCellStyle="Percent" totalsRowCellStyle="Percent">
      <calculatedColumnFormula>PostSeriesSeedCapTable[[#This Row],[Total O/S]]/PostSeriesSeedCapTable[[#Totals],[Total O/S]]</calculatedColumnFormula>
    </tableColumn>
    <tableColumn id="8" xr3:uid="{19BA52F8-C44A-464E-896D-D8A36B0928A4}" name="% FD" totalsRowFunction="sum" dataDxfId="88" totalsRowDxfId="87" dataCellStyle="Percent" totalsRowCellStyle="Percent">
      <calculatedColumnFormula>PostSeriesSeedCapTable[[#This Row],[Total FD]]/PostSeriesSeedCapTable[[#Totals],[Total FD]]</calculatedColumnFormula>
    </tableColumn>
  </tableColumns>
  <tableStyleInfo name="TableStyleLight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A826F2-7970-41D9-994F-27CA4C1F73B1}" name="CapTablePostSeriesANoSeriesSeed" displayName="CapTablePostSeriesANoSeriesSeed" ref="B75:J85" totalsRowCount="1" headerRowDxfId="86" dataDxfId="85">
  <autoFilter ref="B75:J84" xr:uid="{40A826F2-7970-41D9-994F-27CA4C1F73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70500E8-993C-4150-A456-80DE62C706F1}" name="Holders" totalsRowLabel="Total" dataDxfId="84"/>
    <tableColumn id="2" xr3:uid="{E5A05A89-D98F-45F2-9030-79556810FB98}" name="Common Stock" totalsRowFunction="sum" dataDxfId="83" totalsRowDxfId="39" dataCellStyle="Comma"/>
    <tableColumn id="3" xr3:uid="{CC70CE7E-6065-44F5-8F28-A50988DE3AE5}" name="Options" totalsRowFunction="sum" dataDxfId="3" totalsRowDxfId="38" dataCellStyle="Comma"/>
    <tableColumn id="4" xr3:uid="{279EAB4D-D423-4F1A-B98B-86B130B0FF6F}" name="Series Seed" totalsRowFunction="sum" dataDxfId="1" totalsRowDxfId="0" dataCellStyle="Comma"/>
    <tableColumn id="5" xr3:uid="{9AF2BFA6-1154-4A38-BBCB-695B7994AB6D}" name="Series A" totalsRowFunction="sum" dataDxfId="2" totalsRowDxfId="37" dataCellStyle="Comma"/>
    <tableColumn id="6" xr3:uid="{35EF5A90-C3B5-4CDF-88AC-B7F75FF76B00}" name="Total O/S" totalsRowFunction="sum" dataDxfId="82" totalsRowDxfId="36" dataCellStyle="Comma">
      <calculatedColumnFormula>SUM(CapTablePostSeriesANoSeriesSeed[[#This Row],[Common Stock]],CapTablePostSeriesANoSeriesSeed[[#This Row],[Series Seed]:[Series A]])</calculatedColumnFormula>
    </tableColumn>
    <tableColumn id="7" xr3:uid="{BCC69BA9-A92D-41E3-AF43-4A7D6535A493}" name="Total FD" totalsRowFunction="sum" dataDxfId="81" totalsRowDxfId="35" dataCellStyle="Comma">
      <calculatedColumnFormula>SUM(CapTablePostSeriesANoSeriesSeed[[#This Row],[Common Stock]:[Series A]])</calculatedColumnFormula>
    </tableColumn>
    <tableColumn id="8" xr3:uid="{7693C157-7E02-484E-9B7B-A193951FAFC6}" name="% O/S" totalsRowFunction="sum" dataDxfId="80" totalsRowDxfId="34" dataCellStyle="Percent">
      <calculatedColumnFormula>CapTablePostSeriesANoSeriesSeed[[#This Row],[Total O/S]]/CapTablePostSeriesANoSeriesSeed[[#Totals],[Total O/S]]</calculatedColumnFormula>
    </tableColumn>
    <tableColumn id="9" xr3:uid="{93E226B9-9A07-4DA0-A5F4-1746248D0B30}" name="% FD" totalsRowFunction="sum" dataDxfId="79" totalsRowDxfId="33" dataCellStyle="Percent">
      <calculatedColumnFormula>CapTablePostSeriesANoSeriesSeed[[#This Row],[Total FD]]/CapTablePostSeriesANoSeriesSeed[[#Totals],[Total FD]]</calculatedColumnFormula>
    </tableColumn>
  </tableColumns>
  <tableStyleInfo name="TableStyleLight1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B900A1-AFB0-4D08-B34A-F64FA547E8F6}" name="CapTablePostSeriesAWithSeriesSeed" displayName="CapTablePostSeriesAWithSeriesSeed" ref="N75:V85" totalsRowCount="1" headerRowDxfId="78" dataDxfId="76" headerRowBorderDxfId="77" tableBorderDxfId="75">
  <autoFilter ref="N75:V84" xr:uid="{C1B900A1-AFB0-4D08-B34A-F64FA547E8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8EEFFFA-CDA1-463C-BB06-388BA51CF5DD}" name="Holders" totalsRowLabel="Total" dataDxfId="74"/>
    <tableColumn id="2" xr3:uid="{0A96551F-CB94-45B3-9603-642AD70CFC7F}" name="Common Stock" totalsRowFunction="sum" dataDxfId="73" totalsRowDxfId="11" dataCellStyle="Comma"/>
    <tableColumn id="3" xr3:uid="{20EB2249-21A7-4E7E-8868-F7B543B345C6}" name="Options" totalsRowFunction="sum" dataDxfId="72" totalsRowDxfId="10" dataCellStyle="Comma"/>
    <tableColumn id="4" xr3:uid="{C2F2CB05-5FFD-415A-B528-9EA2C3ACDC9A}" name="Series Seed" totalsRowFunction="sum" dataDxfId="71" totalsRowDxfId="9" dataCellStyle="Comma"/>
    <tableColumn id="5" xr3:uid="{8B375952-4B2C-4E51-9B78-DE3F7B9CBF5A}" name="Series A" totalsRowFunction="sum" dataDxfId="70" totalsRowDxfId="8" dataCellStyle="Comma"/>
    <tableColumn id="6" xr3:uid="{33808A63-4064-4992-B9AC-ABEB8A41C901}" name="Total O/S" totalsRowFunction="sum" dataDxfId="69" totalsRowDxfId="7" dataCellStyle="Comma">
      <calculatedColumnFormula>SUM(CapTablePostSeriesAWithSeriesSeed[[#This Row],[Common Stock]],CapTablePostSeriesAWithSeriesSeed[[#This Row],[Series Seed]:[Series A]])</calculatedColumnFormula>
    </tableColumn>
    <tableColumn id="7" xr3:uid="{DD4EC123-B4F4-4C68-99AF-87F526F5D09E}" name="Total FD" totalsRowFunction="sum" dataDxfId="68" totalsRowDxfId="6" dataCellStyle="Comma">
      <calculatedColumnFormula>SUM(CapTablePostSeriesAWithSeriesSeed[[#This Row],[Common Stock]:[Series A]])</calculatedColumnFormula>
    </tableColumn>
    <tableColumn id="8" xr3:uid="{8F8E25FD-DA74-4759-AF37-D7A2BDF09426}" name="% O/S" totalsRowFunction="sum" dataDxfId="67" totalsRowDxfId="5" dataCellStyle="Percent">
      <calculatedColumnFormula>CapTablePostSeriesAWithSeriesSeed[[#This Row],[Total O/S]]/CapTablePostSeriesAWithSeriesSeed[[#Totals],[Total O/S]]</calculatedColumnFormula>
    </tableColumn>
    <tableColumn id="9" xr3:uid="{CC3D17BF-E0FC-451F-8A7D-E9C2C6EC5FB1}" name="% FD" totalsRowFunction="sum" dataDxfId="66" totalsRowDxfId="4" dataCellStyle="Percent">
      <calculatedColumnFormula>CapTablePostSeriesAWithSeriesSeed[[#This Row],[Total FD]]/CapTablePostSeriesAWithSeriesSeed[[#Totals],[Total FD]]</calculatedColumnFormula>
    </tableColumn>
  </tableColumns>
  <tableStyleInfo name="TableStyleLight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A6D18B-7D1B-4B02-8A90-558570087B43}" name="Table7" displayName="Table7" ref="N90:Q94" totalsRowCount="1" headerRowDxfId="65" dataDxfId="64">
  <autoFilter ref="N90:Q93" xr:uid="{40A6D18B-7D1B-4B02-8A90-558570087B43}">
    <filterColumn colId="0" hiddenButton="1"/>
    <filterColumn colId="1" hiddenButton="1"/>
    <filterColumn colId="2" hiddenButton="1"/>
    <filterColumn colId="3" hiddenButton="1"/>
  </autoFilter>
  <tableColumns count="4">
    <tableColumn id="1" xr3:uid="{30994E12-5277-4982-97E6-A14EA6DFE3F3}" name="Holders" totalsRowLabel="Total" dataDxfId="63">
      <calculatedColumnFormula>N76</calculatedColumnFormula>
    </tableColumn>
    <tableColumn id="2" xr3:uid="{19CAC4E5-54C4-4B53-A1AF-1C75737AAF72}" name="FD Shares" dataDxfId="62"/>
    <tableColumn id="3" xr3:uid="{38003191-1B8B-4FE3-9FEC-AD94D4F6E5B3}" name="Post-$ FD %" dataDxfId="61"/>
    <tableColumn id="4" xr3:uid="{213D16E3-FD55-4465-B03E-587AC08234AD}" name="Post-$ Value" totalsRowFunction="sum" dataDxfId="60" totalsRowDxfId="28"/>
  </tableColumns>
  <tableStyleInfo name="TableStyleLight2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2A1051A-0FD4-41BF-BE66-DD30E18A97D1}" name="Table8" displayName="Table8" ref="B90:E94" totalsRowCount="1" headerRowDxfId="59">
  <autoFilter ref="B90:E93" xr:uid="{D2A1051A-0FD4-41BF-BE66-DD30E18A97D1}">
    <filterColumn colId="0" hiddenButton="1"/>
    <filterColumn colId="1" hiddenButton="1"/>
    <filterColumn colId="2" hiddenButton="1"/>
    <filterColumn colId="3" hiddenButton="1"/>
  </autoFilter>
  <tableColumns count="4">
    <tableColumn id="1" xr3:uid="{D150FC60-F98D-4201-AE90-DA1EDDA1118A}" name="Holders" totalsRowLabel="Total" dataDxfId="58" totalsRowDxfId="32">
      <calculatedColumnFormula>B76</calculatedColumnFormula>
    </tableColumn>
    <tableColumn id="2" xr3:uid="{551A8C7A-BE18-4414-8A7F-F09E86D0D3C7}" name="FD Shares" dataDxfId="57" totalsRowDxfId="31"/>
    <tableColumn id="3" xr3:uid="{0A3735E9-858F-4043-ABA7-9449B5BF38A3}" name="Post-$ FD %" dataDxfId="56" totalsRowDxfId="30">
      <calculatedColumnFormula>J76</calculatedColumnFormula>
    </tableColumn>
    <tableColumn id="4" xr3:uid="{3516B47E-2061-427D-A706-B3543E8BAF95}" name="Post-$ Value" totalsRowFunction="sum" dataDxfId="55" totalsRowDxfId="29" dataCellStyle="Currency" totalsRowCellStyle="Currency">
      <calculatedColumnFormula>Table8[[#This Row],[Post-$ FD %]]*A1PostMoneyValuation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hyperlink" Target="mailto:jay@optimalcounsel.com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8012-5368-491D-A669-EF073CC4D91D}">
  <sheetPr codeName="Sheet1"/>
  <dimension ref="B2:V109"/>
  <sheetViews>
    <sheetView tabSelected="1" zoomScale="80" zoomScaleNormal="80" workbookViewId="0">
      <selection activeCell="B102" sqref="B102"/>
    </sheetView>
  </sheetViews>
  <sheetFormatPr defaultColWidth="8.90625" defaultRowHeight="14.5" x14ac:dyDescent="0.35"/>
  <cols>
    <col min="1" max="1" width="6.26953125" style="1" customWidth="1"/>
    <col min="2" max="2" width="19" style="1" customWidth="1"/>
    <col min="3" max="3" width="16" style="1" customWidth="1"/>
    <col min="4" max="4" width="13.6328125" style="1" customWidth="1"/>
    <col min="5" max="5" width="16.1796875" style="1" customWidth="1"/>
    <col min="6" max="6" width="15.6328125" style="1" customWidth="1"/>
    <col min="7" max="7" width="13.26953125" style="1" customWidth="1"/>
    <col min="8" max="8" width="12.7265625" style="1" customWidth="1"/>
    <col min="9" max="9" width="18.453125" style="1" customWidth="1"/>
    <col min="10" max="10" width="14.36328125" style="1" customWidth="1"/>
    <col min="11" max="11" width="12.08984375" style="1" customWidth="1"/>
    <col min="12" max="12" width="12.81640625" style="1" customWidth="1"/>
    <col min="13" max="13" width="12.26953125" style="1" customWidth="1"/>
    <col min="14" max="14" width="14.81640625" style="1" customWidth="1"/>
    <col min="15" max="15" width="16" style="1" customWidth="1"/>
    <col min="16" max="16" width="14" style="1" customWidth="1"/>
    <col min="17" max="17" width="17" style="1" customWidth="1"/>
    <col min="18" max="18" width="16" style="1" customWidth="1"/>
    <col min="19" max="19" width="13.7265625" style="1" customWidth="1"/>
    <col min="20" max="20" width="12.26953125" style="1" customWidth="1"/>
    <col min="21" max="16384" width="8.90625" style="1"/>
  </cols>
  <sheetData>
    <row r="2" spans="2:15" ht="23.5" x14ac:dyDescent="0.55000000000000004">
      <c r="B2" s="12" t="s">
        <v>76</v>
      </c>
    </row>
    <row r="4" spans="2:15" ht="18.5" x14ac:dyDescent="0.45">
      <c r="I4" s="108" t="s">
        <v>77</v>
      </c>
    </row>
    <row r="6" spans="2:15" s="2" customFormat="1" ht="29" x14ac:dyDescent="0.35">
      <c r="I6" s="3" t="s">
        <v>0</v>
      </c>
      <c r="J6" s="8" t="s">
        <v>1</v>
      </c>
      <c r="K6" s="8" t="s">
        <v>12</v>
      </c>
      <c r="L6" s="8" t="s">
        <v>2</v>
      </c>
      <c r="M6" s="8" t="s">
        <v>3</v>
      </c>
      <c r="N6" s="8" t="s">
        <v>4</v>
      </c>
      <c r="O6" s="8" t="s">
        <v>5</v>
      </c>
    </row>
    <row r="7" spans="2:15" x14ac:dyDescent="0.35">
      <c r="I7" t="s">
        <v>10</v>
      </c>
      <c r="J7" s="4">
        <v>3000000</v>
      </c>
      <c r="K7" s="4">
        <v>0</v>
      </c>
      <c r="L7" s="4">
        <f>PreFinancingCapTable[[#This Row],[Common Stock]]</f>
        <v>3000000</v>
      </c>
      <c r="M7" s="4">
        <f>SUM(PreFinancingCapTable[[#This Row],[Common Stock]:[Options]])</f>
        <v>3000000</v>
      </c>
      <c r="N7" s="6">
        <f>PreFinancingCapTable[[#This Row],[Total Stock O/S]]/PreFinancingCapTable[[#Totals],[Total Stock O/S]]</f>
        <v>0.6</v>
      </c>
      <c r="O7" s="6">
        <f>PreFinancingCapTable[[#This Row],[Total Stock (FD)]]/PreFinancingCapTable[[#Totals],[Total Stock (FD)]]</f>
        <v>0.54000005400000539</v>
      </c>
    </row>
    <row r="8" spans="2:15" x14ac:dyDescent="0.35">
      <c r="I8" t="s">
        <v>11</v>
      </c>
      <c r="J8" s="4">
        <v>2000000</v>
      </c>
      <c r="K8" s="4"/>
      <c r="L8" s="4">
        <f>PreFinancingCapTable[[#This Row],[Common Stock]]</f>
        <v>2000000</v>
      </c>
      <c r="M8" s="4">
        <f>SUM(PreFinancingCapTable[[#This Row],[Common Stock]:[Options]])</f>
        <v>2000000</v>
      </c>
      <c r="N8" s="6">
        <f>PreFinancingCapTable[[#This Row],[Total Stock O/S]]/PreFinancingCapTable[[#Totals],[Total Stock O/S]]</f>
        <v>0.4</v>
      </c>
      <c r="O8" s="6">
        <f>PreFinancingCapTable[[#This Row],[Total Stock (FD)]]/PreFinancingCapTable[[#Totals],[Total Stock (FD)]]</f>
        <v>0.36000003600000358</v>
      </c>
    </row>
    <row r="9" spans="2:15" x14ac:dyDescent="0.35">
      <c r="I9" t="s">
        <v>13</v>
      </c>
      <c r="J9" s="4"/>
      <c r="K9" s="4">
        <v>111111</v>
      </c>
      <c r="L9" s="4">
        <f>PreFinancingCapTable[[#This Row],[Common Stock]]</f>
        <v>0</v>
      </c>
      <c r="M9" s="4">
        <f>SUM(PreFinancingCapTable[[#This Row],[Common Stock]:[Options]])</f>
        <v>111111</v>
      </c>
      <c r="N9" s="6">
        <f>PreFinancingCapTable[[#This Row],[Total Stock O/S]]/PreFinancingCapTable[[#Totals],[Total Stock O/S]]</f>
        <v>0</v>
      </c>
      <c r="O9" s="6">
        <f>PreFinancingCapTable[[#This Row],[Total Stock (FD)]]/PreFinancingCapTable[[#Totals],[Total Stock (FD)]]</f>
        <v>1.9999981999998199E-2</v>
      </c>
    </row>
    <row r="10" spans="2:15" x14ac:dyDescent="0.35">
      <c r="I10" s="16" t="s">
        <v>14</v>
      </c>
      <c r="J10" s="17">
        <v>0</v>
      </c>
      <c r="K10" s="17">
        <f>555555-SUM(K7:K9)</f>
        <v>444444</v>
      </c>
      <c r="L10" s="17">
        <f>PreFinancingCapTable[[#This Row],[Common Stock]]</f>
        <v>0</v>
      </c>
      <c r="M10" s="17">
        <f>SUM(PreFinancingCapTable[[#This Row],[Common Stock]:[Options]])</f>
        <v>444444</v>
      </c>
      <c r="N10" s="18">
        <f>PreFinancingCapTable[[#This Row],[Total Stock O/S]]/PreFinancingCapTable[[#Totals],[Total Stock O/S]]</f>
        <v>0</v>
      </c>
      <c r="O10" s="18">
        <f>PreFinancingCapTable[[#This Row],[Total Stock (FD)]]/PreFinancingCapTable[[#Totals],[Total Stock (FD)]]</f>
        <v>7.9999927999992795E-2</v>
      </c>
    </row>
    <row r="11" spans="2:15" x14ac:dyDescent="0.35">
      <c r="I11" t="s">
        <v>6</v>
      </c>
      <c r="J11" s="4">
        <f>SUBTOTAL(109,PreFinancingCapTable[Common Stock])</f>
        <v>5000000</v>
      </c>
      <c r="K11" s="4">
        <f>SUBTOTAL(109,PreFinancingCapTable[Options])</f>
        <v>555555</v>
      </c>
      <c r="L11" s="4">
        <f>SUBTOTAL(109,PreFinancingCapTable[Total Stock O/S])</f>
        <v>5000000</v>
      </c>
      <c r="M11" s="4">
        <f>SUBTOTAL(109,PreFinancingCapTable[Total Stock (FD)])</f>
        <v>5555555</v>
      </c>
      <c r="N11" s="6">
        <f>SUBTOTAL(109,PreFinancingCapTable[% O/S])</f>
        <v>1</v>
      </c>
      <c r="O11" s="7">
        <f>SUBTOTAL(109,PreFinancingCapTable[% FD])</f>
        <v>0.99999999999999989</v>
      </c>
    </row>
    <row r="12" spans="2:15" x14ac:dyDescent="0.35">
      <c r="J12" s="45"/>
      <c r="K12" s="45"/>
      <c r="L12" s="45"/>
      <c r="M12" s="45"/>
      <c r="N12" s="46"/>
      <c r="O12" s="51"/>
    </row>
    <row r="13" spans="2:15" x14ac:dyDescent="0.35">
      <c r="J13" s="45"/>
      <c r="K13" s="45"/>
      <c r="L13" s="45"/>
      <c r="M13" s="45"/>
      <c r="N13" s="46"/>
      <c r="O13" s="51"/>
    </row>
    <row r="14" spans="2:15" x14ac:dyDescent="0.35">
      <c r="J14" s="45"/>
      <c r="K14" s="45"/>
      <c r="L14" s="45"/>
      <c r="M14" s="45"/>
      <c r="N14" s="46"/>
      <c r="O14" s="51"/>
    </row>
    <row r="15" spans="2:15" x14ac:dyDescent="0.35">
      <c r="J15" s="45"/>
      <c r="K15" s="45"/>
      <c r="L15" s="45"/>
      <c r="M15" s="45"/>
      <c r="N15" s="46"/>
      <c r="O15" s="51"/>
    </row>
    <row r="16" spans="2:15" x14ac:dyDescent="0.35">
      <c r="J16" s="45"/>
      <c r="K16" s="45"/>
      <c r="L16" s="45"/>
      <c r="M16" s="45"/>
      <c r="N16" s="46"/>
      <c r="O16" s="51"/>
    </row>
    <row r="17" spans="3:20" x14ac:dyDescent="0.35">
      <c r="J17" s="45"/>
      <c r="K17" s="45"/>
      <c r="L17" s="45"/>
      <c r="M17" s="45"/>
      <c r="N17" s="46"/>
      <c r="O17" s="51"/>
    </row>
    <row r="19" spans="3:20" ht="18.5" x14ac:dyDescent="0.45">
      <c r="C19" s="108" t="s">
        <v>81</v>
      </c>
      <c r="G19" s="100" t="s">
        <v>68</v>
      </c>
      <c r="N19" s="100" t="s">
        <v>69</v>
      </c>
    </row>
    <row r="20" spans="3:20" ht="15" thickBot="1" x14ac:dyDescent="0.4"/>
    <row r="21" spans="3:20" s="2" customFormat="1" ht="43.5" x14ac:dyDescent="0.35">
      <c r="C21" s="3" t="s">
        <v>82</v>
      </c>
      <c r="D21" s="8" t="s">
        <v>8</v>
      </c>
      <c r="E21" s="8" t="s">
        <v>9</v>
      </c>
      <c r="F21" s="8" t="s">
        <v>15</v>
      </c>
      <c r="G21" s="52" t="s">
        <v>55</v>
      </c>
      <c r="H21" s="53" t="s">
        <v>48</v>
      </c>
      <c r="I21" s="53" t="s">
        <v>49</v>
      </c>
      <c r="J21" s="53" t="s">
        <v>50</v>
      </c>
      <c r="K21" s="53" t="s">
        <v>51</v>
      </c>
      <c r="L21" s="53" t="s">
        <v>52</v>
      </c>
      <c r="M21" s="54" t="s">
        <v>53</v>
      </c>
      <c r="N21" s="80" t="s">
        <v>54</v>
      </c>
      <c r="O21" s="81" t="s">
        <v>41</v>
      </c>
      <c r="P21" s="81" t="s">
        <v>42</v>
      </c>
      <c r="Q21" s="81" t="s">
        <v>43</v>
      </c>
      <c r="R21" s="81" t="s">
        <v>44</v>
      </c>
      <c r="S21" s="81" t="s">
        <v>45</v>
      </c>
      <c r="T21" s="82" t="s">
        <v>46</v>
      </c>
    </row>
    <row r="22" spans="3:20" x14ac:dyDescent="0.35">
      <c r="C22" t="s">
        <v>23</v>
      </c>
      <c r="D22" s="10">
        <v>1000000</v>
      </c>
      <c r="E22" s="10">
        <v>5000000</v>
      </c>
      <c r="F22" s="5">
        <v>0</v>
      </c>
      <c r="G22" s="48">
        <f ca="1">A1PreMoneyCapitalization-A1PoolSharesAdded</f>
        <v>13684777</v>
      </c>
      <c r="H22" s="19">
        <f ca="1">ROUND((1-InitialSAFERounds[[#This Row],[Discount]])*A1NewMoneyPrice,4)</f>
        <v>2.1335999999999999</v>
      </c>
      <c r="I22" s="19">
        <f ca="1">IFERROR(ROUND(InitialSAFERounds[[#This Row],[Post-money cap]]/InitialSAFERounds[[#This Row],[Company Capitalization (A)]],4),0)</f>
        <v>0.3654</v>
      </c>
      <c r="J22" s="19">
        <f ca="1">MIN(InitialSAFERounds[[#This Row],[Discount Price (A)]:[Valuation Cap Price (A)]],A1NewMoneyPrice)</f>
        <v>0.3654</v>
      </c>
      <c r="K22" s="20">
        <f ca="1">IFERROR(ROUNDDOWN(InitialSAFERounds[[#This Row],[Amount]]/InitialSAFERounds[[#This Row],[Final Conversion Price (A)]],0),0)</f>
        <v>2736726</v>
      </c>
      <c r="L22" s="21">
        <f ca="1">InitialSAFERounds[[#This Row],[Conversion Shares (A)]]/InitialSAFERounds[[#This Row],[Company Capitalization (A)]]</f>
        <v>0.19998323684777619</v>
      </c>
      <c r="M22" s="22">
        <f ca="1">InitialSAFERounds[[#This Row],[Conversion Shares (A)]]/A1FDPostMoneyShares</f>
        <v>0.16683295752027144</v>
      </c>
      <c r="N22" s="47">
        <f ca="1">SeedPreMoneyCapitalization-SeedPoolSharesAdded</f>
        <v>9043786</v>
      </c>
      <c r="O22" s="19">
        <f ca="1">(1-InitialSAFERounds[[#This Row],[Discount]])*SeedNewMoneyPrice</f>
        <v>1.0349999999999999</v>
      </c>
      <c r="P22" s="19">
        <f ca="1">IFERROR(ROUND(InitialSAFERounds[[#This Row],[Post-money cap]]/InitialSAFERounds[[#This Row],[Company Capitalization (Seed)]],4),0)</f>
        <v>0.55289999999999995</v>
      </c>
      <c r="Q22" s="19">
        <f ca="1">MIN(InitialSAFERounds[[#This Row],[Discount Price (Seed)]:[Valuation Cap Price (Seed)]],SeedNewMoneyPrice)</f>
        <v>0.55289999999999995</v>
      </c>
      <c r="R22" s="20">
        <f ca="1">IFERROR(ROUNDDOWN(InitialSAFERounds[[#This Row],[Amount]]/InitialSAFERounds[[#This Row],[Final Conversion Price (Seed)]],0),0)</f>
        <v>1808645</v>
      </c>
      <c r="S22" s="21">
        <f ca="1">InitialSAFERounds[[#This Row],[Conversion Shares (Seed)]]/InitialSAFERounds[[#This Row],[Company Capitalization (Seed)]]</f>
        <v>0.19998759369140315</v>
      </c>
      <c r="T22" s="22">
        <f ca="1">InitialSAFERounds[[#This Row],[Conversion Shares (Seed)]]/SeedFDPostMoneyShares</f>
        <v>0.1559912841628886</v>
      </c>
    </row>
    <row r="23" spans="3:20" x14ac:dyDescent="0.35">
      <c r="C23" t="s">
        <v>24</v>
      </c>
      <c r="D23" s="10">
        <v>1300000</v>
      </c>
      <c r="E23" s="10">
        <v>7000000</v>
      </c>
      <c r="F23" s="5">
        <v>0</v>
      </c>
      <c r="G23" s="48">
        <f ca="1">A1PreMoneyCapitalization-A1PoolSharesAdded</f>
        <v>13684777</v>
      </c>
      <c r="H23" s="19">
        <f ca="1">ROUND((1-InitialSAFERounds[[#This Row],[Discount]])*A1NewMoneyPrice,4)</f>
        <v>2.1335999999999999</v>
      </c>
      <c r="I23" s="19">
        <f ca="1">IFERROR(ROUND(InitialSAFERounds[[#This Row],[Post-money cap]]/InitialSAFERounds[[#This Row],[Company Capitalization (A)]],4),0)</f>
        <v>0.51149999999999995</v>
      </c>
      <c r="J23" s="19">
        <f ca="1">MIN(InitialSAFERounds[[#This Row],[Discount Price (A)]:[Valuation Cap Price (A)]],A1NewMoneyPrice)</f>
        <v>0.51149999999999995</v>
      </c>
      <c r="K23" s="20">
        <f ca="1">IFERROR(ROUNDDOWN(InitialSAFERounds[[#This Row],[Amount]]/InitialSAFERounds[[#This Row],[Final Conversion Price (A)]],0),0)</f>
        <v>2541544</v>
      </c>
      <c r="L23" s="21">
        <f ca="1">InitialSAFERounds[[#This Row],[Conversion Shares (A)]]/InitialSAFERounds[[#This Row],[Company Capitalization (A)]]</f>
        <v>0.18572052726909616</v>
      </c>
      <c r="M23" s="22">
        <f ca="1">InitialSAFERounds[[#This Row],[Conversion Shares (A)]]/A1FDPostMoneyShares</f>
        <v>0.15493451013652837</v>
      </c>
      <c r="N23" s="47">
        <f ca="1">SeedPreMoneyCapitalization-SeedPoolSharesAdded</f>
        <v>9043786</v>
      </c>
      <c r="O23" s="19">
        <f ca="1">(1-InitialSAFERounds[[#This Row],[Discount]])*SeedNewMoneyPrice</f>
        <v>1.0349999999999999</v>
      </c>
      <c r="P23" s="19">
        <f ca="1">IFERROR(ROUND(InitialSAFERounds[[#This Row],[Post-money cap]]/InitialSAFERounds[[#This Row],[Company Capitalization (Seed)]],4),0)</f>
        <v>0.77400000000000002</v>
      </c>
      <c r="Q23" s="19">
        <f ca="1">MIN(InitialSAFERounds[[#This Row],[Discount Price (Seed)]:[Valuation Cap Price (Seed)]],SeedNewMoneyPrice)</f>
        <v>0.77400000000000002</v>
      </c>
      <c r="R23" s="20">
        <f ca="1">IFERROR(ROUNDDOWN(InitialSAFERounds[[#This Row],[Amount]]/InitialSAFERounds[[#This Row],[Final Conversion Price (Seed)]],0),0)</f>
        <v>1679586</v>
      </c>
      <c r="S23" s="21">
        <f ca="1">InitialSAFERounds[[#This Row],[Conversion Shares (Seed)]]/InitialSAFERounds[[#This Row],[Company Capitalization (Seed)]]</f>
        <v>0.18571713218335772</v>
      </c>
      <c r="T23" s="22">
        <f ca="1">InitialSAFERounds[[#This Row],[Conversion Shares (Seed)]]/SeedFDPostMoneyShares</f>
        <v>0.14486025560682689</v>
      </c>
    </row>
    <row r="24" spans="3:20" ht="15" thickBot="1" x14ac:dyDescent="0.4">
      <c r="C24" t="s">
        <v>6</v>
      </c>
      <c r="D24" s="13">
        <f>SUBTOTAL(109,InitialSAFERounds[Amount])</f>
        <v>2300000</v>
      </c>
      <c r="E24" s="13"/>
      <c r="F24"/>
      <c r="G24" s="49"/>
      <c r="H24" s="28"/>
      <c r="I24" s="28"/>
      <c r="J24" s="28"/>
      <c r="K24" s="25">
        <f ca="1">SUBTOTAL(109,InitialSAFERounds[Conversion Shares (A)])</f>
        <v>5278270</v>
      </c>
      <c r="L24" s="29">
        <f ca="1">SUBTOTAL(109,InitialSAFERounds[FD Pre-financing (A)])</f>
        <v>0.38570376411687235</v>
      </c>
      <c r="M24" s="26">
        <f ca="1">SUBTOTAL(109,InitialSAFERounds[FD Post-financing (A)])</f>
        <v>0.32176746765679981</v>
      </c>
      <c r="N24" s="23"/>
      <c r="O24" s="24"/>
      <c r="P24" s="24"/>
      <c r="Q24" s="24"/>
      <c r="R24" s="25">
        <f ca="1">SUBTOTAL(109,InitialSAFERounds[Conversion Shares (Seed)])</f>
        <v>3488231</v>
      </c>
      <c r="S24" s="27">
        <f ca="1">SUBTOTAL(109,InitialSAFERounds[FD Pre-financing (Seed)])</f>
        <v>0.3857047258747609</v>
      </c>
      <c r="T24" s="50">
        <f ca="1">SUBTOTAL(109,InitialSAFERounds[FD Post-financing (Seed)])</f>
        <v>0.30085153976971546</v>
      </c>
    </row>
    <row r="34" spans="2:22" ht="18.5" x14ac:dyDescent="0.45">
      <c r="B34" s="108" t="s">
        <v>78</v>
      </c>
      <c r="N34" s="108" t="s">
        <v>79</v>
      </c>
      <c r="Q34" s="113" t="s">
        <v>74</v>
      </c>
      <c r="R34" s="114"/>
      <c r="S34" s="109" t="s">
        <v>75</v>
      </c>
    </row>
    <row r="35" spans="2:22" ht="15" thickBot="1" x14ac:dyDescent="0.4"/>
    <row r="36" spans="2:22" ht="29" x14ac:dyDescent="0.35">
      <c r="B36" s="55" t="s">
        <v>7</v>
      </c>
      <c r="C36" s="56" t="s">
        <v>8</v>
      </c>
      <c r="D36" s="56" t="s">
        <v>9</v>
      </c>
      <c r="E36" s="56" t="s">
        <v>15</v>
      </c>
      <c r="F36" s="56" t="s">
        <v>16</v>
      </c>
      <c r="G36" s="56" t="s">
        <v>17</v>
      </c>
      <c r="H36" s="56" t="s">
        <v>18</v>
      </c>
      <c r="I36" s="56" t="s">
        <v>19</v>
      </c>
      <c r="J36" s="56" t="s">
        <v>20</v>
      </c>
      <c r="K36" s="56" t="s">
        <v>21</v>
      </c>
      <c r="L36" s="56" t="s">
        <v>22</v>
      </c>
      <c r="N36" s="83" t="s">
        <v>29</v>
      </c>
      <c r="O36" s="84"/>
      <c r="P36" s="112">
        <v>12000000</v>
      </c>
      <c r="Q36" s="83" t="s">
        <v>31</v>
      </c>
      <c r="R36" s="84"/>
      <c r="S36" s="85">
        <f ca="1">InitialSAFERounds[[#Totals],[Conversion Shares (Seed)]]</f>
        <v>3488231</v>
      </c>
      <c r="T36" s="83" t="s">
        <v>36</v>
      </c>
      <c r="U36" s="84"/>
      <c r="V36" s="86">
        <f ca="1">SeedNewMoneyShares/SeedFDPostMoneyShares</f>
        <v>0.20832744693487254</v>
      </c>
    </row>
    <row r="37" spans="2:22" x14ac:dyDescent="0.35">
      <c r="B37" s="57" t="s">
        <v>80</v>
      </c>
      <c r="C37" s="58">
        <f>SeedNewMoney</f>
        <v>2500000</v>
      </c>
      <c r="D37" s="58">
        <f>SeedPostMoneyValuation</f>
        <v>12000000</v>
      </c>
      <c r="E37" s="59">
        <v>0</v>
      </c>
      <c r="F37" s="60">
        <f ca="1">A1PreMoneyCapitalization-A1PoolSharesAdded</f>
        <v>13684777</v>
      </c>
      <c r="G37" s="61">
        <f ca="1">(1-SecondSafeRound[[#This Row],[Discount]])*A1NewMoneyPrice</f>
        <v>2.1335999999999999</v>
      </c>
      <c r="H37" s="61">
        <f ca="1">IFERROR(ROUND(SecondSafeRound[[#This Row],[Post-money cap]]/SecondSafeRound[[#This Row],[Company Capitalization]],4),0)</f>
        <v>0.87690000000000001</v>
      </c>
      <c r="I37" s="61">
        <f ca="1">MIN(SecondSafeRound[[#This Row],[Discount Price]:[Valuation Cap Price]],A1NewMoneyPrice)</f>
        <v>0.87690000000000001</v>
      </c>
      <c r="J37" s="62">
        <f ca="1">IFERROR(ROUNDDOWN(SecondSafeRound[[#This Row],[Amount]]/SecondSafeRound[[#This Row],[Final Conversion Price]],0),0)</f>
        <v>2850952</v>
      </c>
      <c r="K37" s="115">
        <f ca="1">SecondSafeRound[[#This Row],[Conversion Shares]]/SecondSafeRound[[#This Row],[Company Capitalization]]</f>
        <v>0.20833017593198633</v>
      </c>
      <c r="L37" s="63">
        <f ca="1">SecondSafeRound[[#This Row],[Conversion Shares]]/A1FDPostMoneyShares</f>
        <v>0.17379626382339075</v>
      </c>
      <c r="N37" s="87" t="s">
        <v>26</v>
      </c>
      <c r="O37" s="88"/>
      <c r="P37" s="110">
        <v>2500000</v>
      </c>
      <c r="Q37" s="87" t="s">
        <v>32</v>
      </c>
      <c r="R37" s="88"/>
      <c r="S37" s="89">
        <f ca="1">SUM(SeedSAFEConversionShares,SeedPoolSharesAdded,PreFinancingCapTable[[#Totals],[Total Stock (FD)]])</f>
        <v>9179068</v>
      </c>
      <c r="T37" s="87" t="s">
        <v>37</v>
      </c>
      <c r="U37" s="88"/>
      <c r="V37" s="90">
        <f ca="1">SeedSAFEConversionShares/SeedPreMoneyCapitalization</f>
        <v>0.38002017198260213</v>
      </c>
    </row>
    <row r="38" spans="2:22" x14ac:dyDescent="0.35">
      <c r="B38" s="57" t="s">
        <v>6</v>
      </c>
      <c r="C38" s="58">
        <f>SUBTOTAL(109,SecondSafeRound[Amount])</f>
        <v>2500000</v>
      </c>
      <c r="D38" s="58"/>
      <c r="E38" s="57"/>
      <c r="F38" s="57"/>
      <c r="G38" s="57"/>
      <c r="H38" s="57"/>
      <c r="I38" s="57"/>
      <c r="J38" s="60">
        <f ca="1">SUBTOTAL(109,SecondSafeRound[Conversion Shares])</f>
        <v>2850952</v>
      </c>
      <c r="K38" s="63">
        <f ca="1">SUBTOTAL(109,SecondSafeRound[FD Pre-financing])</f>
        <v>0.20833017593198633</v>
      </c>
      <c r="L38" s="63">
        <f ca="1">SUBTOTAL(109,SecondSafeRound[FD Post-financing])</f>
        <v>0.17379626382339075</v>
      </c>
      <c r="N38" s="87" t="s">
        <v>25</v>
      </c>
      <c r="O38" s="88"/>
      <c r="P38" s="91">
        <f>SeedPostMoneyValuation-SeedNewMoney</f>
        <v>9500000</v>
      </c>
      <c r="Q38" s="87" t="s">
        <v>33</v>
      </c>
      <c r="R38" s="88"/>
      <c r="S38" s="92">
        <f ca="1">IFERROR(ROUND(SeedPreMoneyValuation/SeedPreMoneyCapitalization,4),0)</f>
        <v>1.0349999999999999</v>
      </c>
      <c r="T38" s="87" t="s">
        <v>38</v>
      </c>
      <c r="U38" s="88"/>
      <c r="V38" s="90">
        <f ca="1">SUM(M7:M8)/SeedFDPostMoneyShares</f>
        <v>0.43123798247552336</v>
      </c>
    </row>
    <row r="39" spans="2:22" x14ac:dyDescent="0.35">
      <c r="N39" s="87" t="s">
        <v>27</v>
      </c>
      <c r="O39" s="88"/>
      <c r="P39" s="111">
        <v>0.05</v>
      </c>
      <c r="Q39" s="87" t="s">
        <v>34</v>
      </c>
      <c r="R39" s="88"/>
      <c r="S39" s="89">
        <f ca="1">ROUNDDOWN(SeedNewMoney/SeedNewMoneyPrice,0)</f>
        <v>2415458</v>
      </c>
      <c r="T39" s="87" t="s">
        <v>40</v>
      </c>
      <c r="U39" s="88"/>
      <c r="V39" s="90">
        <f ca="1">SUM(PreFinancingCapTable[[#Totals],[Options]],SeedPoolSharesAdded)/SeedFDPostMoneyShares</f>
        <v>5.9583030819888624E-2</v>
      </c>
    </row>
    <row r="40" spans="2:22" x14ac:dyDescent="0.35">
      <c r="N40" s="87" t="s">
        <v>28</v>
      </c>
      <c r="O40" s="88"/>
      <c r="P40" s="93">
        <f>K10</f>
        <v>444444</v>
      </c>
      <c r="Q40" s="87" t="s">
        <v>35</v>
      </c>
      <c r="R40" s="88"/>
      <c r="S40" s="89">
        <f ca="1">SUM(SeedPreMoneyCapitalization,SeedNewMoneyShares)</f>
        <v>11594526</v>
      </c>
      <c r="T40" s="87" t="s">
        <v>39</v>
      </c>
      <c r="U40" s="88"/>
      <c r="V40" s="90">
        <f ca="1">SUM(SeedCurrentAvailablePool,SeedPoolSharesAdded)/SeedFDPostMoneyShares</f>
        <v>4.9999974125721054E-2</v>
      </c>
    </row>
    <row r="41" spans="2:22" x14ac:dyDescent="0.35">
      <c r="N41" s="87" t="s">
        <v>47</v>
      </c>
      <c r="O41" s="88"/>
      <c r="P41" s="89">
        <f ca="1">ROUNDDOWN(SeedTargetAvailablePool*SeedFDPostMoneyShares,0)</f>
        <v>579726</v>
      </c>
      <c r="Q41" s="87"/>
      <c r="R41" s="88"/>
      <c r="S41" s="94"/>
      <c r="T41" s="87"/>
      <c r="U41" s="88"/>
      <c r="V41" s="94"/>
    </row>
    <row r="42" spans="2:22" ht="15" thickBot="1" x14ac:dyDescent="0.4">
      <c r="N42" s="95" t="s">
        <v>30</v>
      </c>
      <c r="O42" s="96"/>
      <c r="P42" s="97">
        <f ca="1">IF(ExpandPoolAtSeed="YES",SeedTargetAvailablePoolShares-SeedCurrentAvailablePool,0)</f>
        <v>135282</v>
      </c>
      <c r="Q42" s="96"/>
      <c r="R42" s="96"/>
      <c r="S42" s="98"/>
      <c r="T42" s="96"/>
      <c r="U42" s="96"/>
      <c r="V42" s="98"/>
    </row>
    <row r="44" spans="2:22" x14ac:dyDescent="0.35">
      <c r="N44" s="31" t="s">
        <v>56</v>
      </c>
    </row>
    <row r="46" spans="2:22" x14ac:dyDescent="0.35">
      <c r="N46" t="s">
        <v>0</v>
      </c>
      <c r="O46" s="30" t="s">
        <v>1</v>
      </c>
      <c r="P46" s="30" t="s">
        <v>12</v>
      </c>
      <c r="Q46" s="30" t="s">
        <v>57</v>
      </c>
      <c r="R46" s="30" t="s">
        <v>58</v>
      </c>
      <c r="S46" s="30" t="s">
        <v>59</v>
      </c>
      <c r="T46" s="30" t="s">
        <v>4</v>
      </c>
      <c r="U46" s="30" t="s">
        <v>5</v>
      </c>
    </row>
    <row r="47" spans="2:22" x14ac:dyDescent="0.35">
      <c r="N47" t="s">
        <v>10</v>
      </c>
      <c r="O47" s="4">
        <f>J7</f>
        <v>3000000</v>
      </c>
      <c r="P47" s="4"/>
      <c r="Q47" s="4"/>
      <c r="R47" s="4">
        <f>SUM(PostSeriesSeedCapTable[[#This Row],[Common Stock]],PostSeriesSeedCapTable[[#This Row],[Series Seed]])</f>
        <v>3000000</v>
      </c>
      <c r="S47" s="4">
        <f>SUM(PostSeriesSeedCapTable[[#This Row],[Common Stock]:[Series Seed]])</f>
        <v>3000000</v>
      </c>
      <c r="T47" s="6">
        <f ca="1">PostSeriesSeedCapTable[[#This Row],[Total O/S]]/PostSeriesSeedCapTable[[#Totals],[Total O/S]]</f>
        <v>0.27513624058793312</v>
      </c>
      <c r="U47" s="6">
        <f ca="1">PostSeriesSeedCapTable[[#This Row],[Total FD]]/PostSeriesSeedCapTable[[#Totals],[Total FD]]</f>
        <v>0.25874278948531404</v>
      </c>
    </row>
    <row r="48" spans="2:22" x14ac:dyDescent="0.35">
      <c r="N48" t="s">
        <v>11</v>
      </c>
      <c r="O48" s="4">
        <f>J8</f>
        <v>2000000</v>
      </c>
      <c r="P48" s="4"/>
      <c r="Q48" s="4"/>
      <c r="R48" s="4">
        <f>SUM(PostSeriesSeedCapTable[[#This Row],[Common Stock]],PostSeriesSeedCapTable[[#This Row],[Series Seed]])</f>
        <v>2000000</v>
      </c>
      <c r="S48" s="4">
        <f>SUM(PostSeriesSeedCapTable[[#This Row],[Common Stock]:[Series Seed]])</f>
        <v>2000000</v>
      </c>
      <c r="T48" s="6">
        <f ca="1">PostSeriesSeedCapTable[[#This Row],[Total O/S]]/PostSeriesSeedCapTable[[#Totals],[Total O/S]]</f>
        <v>0.18342416039195542</v>
      </c>
      <c r="U48" s="6">
        <f ca="1">PostSeriesSeedCapTable[[#This Row],[Total FD]]/PostSeriesSeedCapTable[[#Totals],[Total FD]]</f>
        <v>0.17249519299020935</v>
      </c>
    </row>
    <row r="49" spans="2:22" x14ac:dyDescent="0.35">
      <c r="N49" t="s">
        <v>13</v>
      </c>
      <c r="O49" s="4"/>
      <c r="P49" s="4">
        <f>K9</f>
        <v>111111</v>
      </c>
      <c r="Q49" s="4"/>
      <c r="R49" s="4">
        <f>SUM(PostSeriesSeedCapTable[[#This Row],[Common Stock]],PostSeriesSeedCapTable[[#This Row],[Series Seed]])</f>
        <v>0</v>
      </c>
      <c r="S49" s="4">
        <f>SUM(PostSeriesSeedCapTable[[#This Row],[Common Stock]:[Series Seed]])</f>
        <v>111111</v>
      </c>
      <c r="T49" s="6">
        <f ca="1">PostSeriesSeedCapTable[[#This Row],[Total O/S]]/PostSeriesSeedCapTable[[#Totals],[Total O/S]]</f>
        <v>0</v>
      </c>
      <c r="U49" s="6">
        <f ca="1">PostSeriesSeedCapTable[[#This Row],[Total FD]]/PostSeriesSeedCapTable[[#Totals],[Total FD]]</f>
        <v>9.5830566941675754E-3</v>
      </c>
    </row>
    <row r="50" spans="2:22" x14ac:dyDescent="0.35">
      <c r="N50" s="16" t="s">
        <v>63</v>
      </c>
      <c r="O50" s="17"/>
      <c r="P50" s="17">
        <f ca="1">SUM(SeedCurrentAvailablePool,SeedPoolSharesAdded)</f>
        <v>579726</v>
      </c>
      <c r="Q50" s="17"/>
      <c r="R50" s="17">
        <f>SUM(PostSeriesSeedCapTable[[#This Row],[Common Stock]],PostSeriesSeedCapTable[[#This Row],[Series Seed]])</f>
        <v>0</v>
      </c>
      <c r="S50" s="17">
        <f ca="1">SUM(PostSeriesSeedCapTable[[#This Row],[Common Stock]:[Series Seed]])</f>
        <v>579726</v>
      </c>
      <c r="T50" s="18">
        <f ca="1">PostSeriesSeedCapTable[[#This Row],[Total O/S]]/PostSeriesSeedCapTable[[#Totals],[Total O/S]]</f>
        <v>0</v>
      </c>
      <c r="U50" s="18">
        <f ca="1">PostSeriesSeedCapTable[[#This Row],[Total FD]]/PostSeriesSeedCapTable[[#Totals],[Total FD]]</f>
        <v>4.9999974125721054E-2</v>
      </c>
    </row>
    <row r="51" spans="2:22" x14ac:dyDescent="0.35">
      <c r="N51" t="s">
        <v>23</v>
      </c>
      <c r="O51" s="4"/>
      <c r="P51" s="4"/>
      <c r="Q51" s="4">
        <f ca="1">R22</f>
        <v>1808645</v>
      </c>
      <c r="R51" s="4">
        <f ca="1">SUM(PostSeriesSeedCapTable[[#This Row],[Common Stock]],PostSeriesSeedCapTable[[#This Row],[Series Seed]])</f>
        <v>1808645</v>
      </c>
      <c r="S51" s="4">
        <f ca="1">SUM(PostSeriesSeedCapTable[[#This Row],[Common Stock]:[Series Seed]])</f>
        <v>1808645</v>
      </c>
      <c r="T51" s="6">
        <f ca="1">PostSeriesSeedCapTable[[#This Row],[Total O/S]]/PostSeriesSeedCapTable[[#Totals],[Total O/S]]</f>
        <v>0.16587459528605411</v>
      </c>
      <c r="U51" s="6">
        <f ca="1">PostSeriesSeedCapTable[[#This Row],[Total FD]]/PostSeriesSeedCapTable[[#Totals],[Total FD]]</f>
        <v>0.1559912841628886</v>
      </c>
    </row>
    <row r="52" spans="2:22" x14ac:dyDescent="0.35">
      <c r="N52" t="s">
        <v>24</v>
      </c>
      <c r="O52" s="4"/>
      <c r="P52" s="4"/>
      <c r="Q52" s="4">
        <f ca="1">R23</f>
        <v>1679586</v>
      </c>
      <c r="R52" s="4">
        <f ca="1">SUM(PostSeriesSeedCapTable[[#This Row],[Common Stock]],PostSeriesSeedCapTable[[#This Row],[Series Seed]])</f>
        <v>1679586</v>
      </c>
      <c r="S52" s="4">
        <f ca="1">SUM(PostSeriesSeedCapTable[[#This Row],[Common Stock]:[Series Seed]])</f>
        <v>1679586</v>
      </c>
      <c r="T52" s="6">
        <f ca="1">PostSeriesSeedCapTable[[#This Row],[Total O/S]]/PostSeriesSeedCapTable[[#Totals],[Total O/S]]</f>
        <v>0.15403832592804143</v>
      </c>
      <c r="U52" s="6">
        <f ca="1">PostSeriesSeedCapTable[[#This Row],[Total FD]]/PostSeriesSeedCapTable[[#Totals],[Total FD]]</f>
        <v>0.14486025560682689</v>
      </c>
    </row>
    <row r="53" spans="2:22" x14ac:dyDescent="0.35">
      <c r="N53" t="s">
        <v>57</v>
      </c>
      <c r="O53" s="4"/>
      <c r="P53" s="4"/>
      <c r="Q53" s="4">
        <f ca="1">SeedNewMoneyShares</f>
        <v>2415458</v>
      </c>
      <c r="R53" s="4">
        <f ca="1">SUM(PostSeriesSeedCapTable[[#This Row],[Common Stock]],PostSeriesSeedCapTable[[#This Row],[Series Seed]])</f>
        <v>2415458</v>
      </c>
      <c r="S53" s="4">
        <f ca="1">SUM(PostSeriesSeedCapTable[[#This Row],[Common Stock]:[Series Seed]])</f>
        <v>2415458</v>
      </c>
      <c r="T53" s="6">
        <f ca="1">PostSeriesSeedCapTable[[#This Row],[Total O/S]]/PostSeriesSeedCapTable[[#Totals],[Total O/S]]</f>
        <v>0.22152667780601593</v>
      </c>
      <c r="U53" s="115">
        <f ca="1">PostSeriesSeedCapTable[[#This Row],[Total FD]]/PostSeriesSeedCapTable[[#Totals],[Total FD]]</f>
        <v>0.20832744693487254</v>
      </c>
    </row>
    <row r="54" spans="2:22" x14ac:dyDescent="0.35">
      <c r="N54" t="s">
        <v>6</v>
      </c>
      <c r="O54" s="14">
        <f>SUBTOTAL(109,PostSeriesSeedCapTable[Common Stock])</f>
        <v>5000000</v>
      </c>
      <c r="P54" s="14">
        <f ca="1">SUBTOTAL(109,PostSeriesSeedCapTable[Options])</f>
        <v>690837</v>
      </c>
      <c r="Q54" s="14">
        <f ca="1">SUBTOTAL(109,PostSeriesSeedCapTable[Series Seed])</f>
        <v>5903689</v>
      </c>
      <c r="R54" s="14">
        <f ca="1">SUBTOTAL(109,PostSeriesSeedCapTable[Total O/S])</f>
        <v>10903689</v>
      </c>
      <c r="S54" s="14">
        <f ca="1">SUBTOTAL(109,PostSeriesSeedCapTable[Total FD])</f>
        <v>11594526</v>
      </c>
      <c r="T54" s="7">
        <f ca="1">SUBTOTAL(109,PostSeriesSeedCapTable[% O/S])</f>
        <v>1</v>
      </c>
      <c r="U54" s="7">
        <f ca="1">SUBTOTAL(109,PostSeriesSeedCapTable[% FD])</f>
        <v>1</v>
      </c>
    </row>
    <row r="62" spans="2:22" ht="18.5" x14ac:dyDescent="0.45">
      <c r="B62" s="108" t="s">
        <v>70</v>
      </c>
      <c r="N62" s="108" t="s">
        <v>71</v>
      </c>
    </row>
    <row r="63" spans="2:22" ht="15" thickBot="1" x14ac:dyDescent="0.4"/>
    <row r="64" spans="2:22" x14ac:dyDescent="0.35">
      <c r="B64" s="64" t="s">
        <v>29</v>
      </c>
      <c r="C64" s="65"/>
      <c r="D64" s="112">
        <v>35000000</v>
      </c>
      <c r="E64" s="64" t="s">
        <v>31</v>
      </c>
      <c r="F64" s="65"/>
      <c r="G64" s="66">
        <f ca="1">SUM(SecondSafeRound[[#Totals],[Conversion Shares]],InitialSAFERounds[[#Totals],[Conversion Shares (A)]])</f>
        <v>8129222</v>
      </c>
      <c r="H64" s="64" t="s">
        <v>72</v>
      </c>
      <c r="I64" s="65"/>
      <c r="J64" s="67">
        <f ca="1">A1NewMoneyShares/A1FDPostMoneyShares</f>
        <v>0.14285897168060768</v>
      </c>
      <c r="N64" s="83" t="s">
        <v>29</v>
      </c>
      <c r="O64" s="84"/>
      <c r="P64" s="101">
        <f>A1PostMoneyValuation</f>
        <v>35000000</v>
      </c>
      <c r="Q64" s="83" t="s">
        <v>31</v>
      </c>
      <c r="R64" s="84"/>
      <c r="S64" s="102">
        <v>0</v>
      </c>
      <c r="T64" s="83" t="s">
        <v>36</v>
      </c>
      <c r="U64" s="84"/>
      <c r="V64" s="86">
        <f ca="1">A2NewMoneyShares/A2FDPostMoneyShares</f>
        <v>0.14285857701046364</v>
      </c>
    </row>
    <row r="65" spans="2:22" x14ac:dyDescent="0.35">
      <c r="B65" s="68" t="s">
        <v>26</v>
      </c>
      <c r="C65" s="69"/>
      <c r="D65" s="110">
        <v>5000000</v>
      </c>
      <c r="E65" s="68" t="s">
        <v>32</v>
      </c>
      <c r="F65" s="69"/>
      <c r="G65" s="70">
        <f ca="1">SUM(PreFinancingCapTable[[#Totals],[Total Stock (FD)]],A1SAFEConversionShares,A1PoolSharesAdded)</f>
        <v>14060532</v>
      </c>
      <c r="H65" s="68" t="s">
        <v>37</v>
      </c>
      <c r="I65" s="69"/>
      <c r="J65" s="71">
        <f ca="1">A1SAFEConversionShares/A1FDPostMoneyShares</f>
        <v>0.49556373148019056</v>
      </c>
      <c r="N65" s="87" t="s">
        <v>26</v>
      </c>
      <c r="O65" s="88"/>
      <c r="P65" s="103">
        <f>A1NewMoney</f>
        <v>5000000</v>
      </c>
      <c r="Q65" s="87" t="s">
        <v>32</v>
      </c>
      <c r="R65" s="88"/>
      <c r="S65" s="104">
        <f ca="1">SUM(SeedFDPostMoneyShares,A2PoolSharesAdded,A2SAFEConversionShares)</f>
        <v>11697133</v>
      </c>
      <c r="T65" s="87" t="s">
        <v>37</v>
      </c>
      <c r="U65" s="88"/>
      <c r="V65" s="90">
        <f ca="1">SeedSAFEConversionShares/A2FDPostMoneyShares</f>
        <v>0.25561026646924623</v>
      </c>
    </row>
    <row r="66" spans="2:22" x14ac:dyDescent="0.35">
      <c r="B66" s="68" t="s">
        <v>25</v>
      </c>
      <c r="C66" s="69"/>
      <c r="D66" s="72">
        <f>A1PostMoneyValuation-A1NewMoney</f>
        <v>30000000</v>
      </c>
      <c r="E66" s="68" t="s">
        <v>33</v>
      </c>
      <c r="F66" s="69"/>
      <c r="G66" s="73">
        <f ca="1">ROUND(A1PreMoneyValuation/A1PreMoneyCapitalization,4)</f>
        <v>2.1335999999999999</v>
      </c>
      <c r="H66" s="68" t="s">
        <v>73</v>
      </c>
      <c r="I66" s="69"/>
      <c r="J66" s="71">
        <f ca="1">SUM(J7:J8)/A1FDPostMoneyShares</f>
        <v>0.3048039108048658</v>
      </c>
      <c r="N66" s="87" t="s">
        <v>25</v>
      </c>
      <c r="O66" s="88"/>
      <c r="P66" s="103">
        <f>A2PostMoneyValuation-A2NewMoney</f>
        <v>30000000</v>
      </c>
      <c r="Q66" s="87" t="s">
        <v>33</v>
      </c>
      <c r="R66" s="88"/>
      <c r="S66" s="105">
        <f ca="1">ROUND(A2PreMoneyValuation/A2PreMoneyCapitalization,4)</f>
        <v>2.5647000000000002</v>
      </c>
      <c r="T66" s="87" t="s">
        <v>38</v>
      </c>
      <c r="U66" s="88"/>
      <c r="V66" s="90">
        <f ca="1">SUM(J7:J8)/A2FDPostMoneyShares</f>
        <v>0.36638953450795864</v>
      </c>
    </row>
    <row r="67" spans="2:22" x14ac:dyDescent="0.35">
      <c r="B67" s="68" t="s">
        <v>27</v>
      </c>
      <c r="C67" s="69"/>
      <c r="D67" s="111">
        <v>0.05</v>
      </c>
      <c r="E67" s="68" t="s">
        <v>34</v>
      </c>
      <c r="F67" s="69"/>
      <c r="G67" s="70">
        <f ca="1">IFERROR(ROUNDDOWN(A1NewMoney/A1NewMoneyPrice,0),0)</f>
        <v>2343457</v>
      </c>
      <c r="H67" s="68" t="s">
        <v>40</v>
      </c>
      <c r="I67" s="69"/>
      <c r="J67" s="71">
        <f ca="1">SUM(PreFinancingCapTable[[#Totals],[Options]],A1PoolSharesAdded)/A1FDPostMoneyShares</f>
        <v>5.6773386034335918E-2</v>
      </c>
      <c r="N67" s="87" t="s">
        <v>27</v>
      </c>
      <c r="O67" s="88"/>
      <c r="P67" s="106">
        <f>A1TargetAvailablePool</f>
        <v>0.05</v>
      </c>
      <c r="Q67" s="87" t="s">
        <v>34</v>
      </c>
      <c r="R67" s="88"/>
      <c r="S67" s="104">
        <f ca="1">IFERROR(ROUNDDOWN(A2NewMoney/A2NewMoneyPrice,0),0)</f>
        <v>1949545</v>
      </c>
      <c r="T67" s="87" t="s">
        <v>40</v>
      </c>
      <c r="U67" s="88"/>
      <c r="V67" s="90">
        <f ca="1">SUM(PostSeriesSeedCapTable[[#Totals],[Options]],A2PoolSharesAdded)/A2FDPostMoneyShares</f>
        <v>5.8141915563626544E-2</v>
      </c>
    </row>
    <row r="68" spans="2:22" x14ac:dyDescent="0.35">
      <c r="B68" s="68" t="s">
        <v>28</v>
      </c>
      <c r="C68" s="69"/>
      <c r="D68" s="74">
        <f>K10</f>
        <v>444444</v>
      </c>
      <c r="E68" s="68" t="s">
        <v>35</v>
      </c>
      <c r="F68" s="69"/>
      <c r="G68" s="70">
        <f ca="1">SUM(A1PreMoneyCapitalization,A1NewMoneyShares)</f>
        <v>16403989</v>
      </c>
      <c r="H68" s="68" t="s">
        <v>39</v>
      </c>
      <c r="I68" s="69"/>
      <c r="J68" s="71">
        <f ca="1">SUM(A1CurrentAvailablePool,A1PoolSharesAdded)/A1FDPostMoneyShares</f>
        <v>4.9999972567648029E-2</v>
      </c>
      <c r="N68" s="87" t="s">
        <v>28</v>
      </c>
      <c r="O68" s="88"/>
      <c r="P68" s="104">
        <f ca="1">P50</f>
        <v>579726</v>
      </c>
      <c r="Q68" s="87" t="s">
        <v>35</v>
      </c>
      <c r="R68" s="88"/>
      <c r="S68" s="104">
        <f ca="1">SUM(A2PreMoneyCapitalization,A2NewMoneyShares)</f>
        <v>13646678</v>
      </c>
      <c r="T68" s="87" t="s">
        <v>39</v>
      </c>
      <c r="U68" s="88"/>
      <c r="V68" s="90">
        <f ca="1">SUM(A2CurrentAvailablePool,A2PoolSharesAdded)/A2FDPostMoneyShares</f>
        <v>4.9999934049883787E-2</v>
      </c>
    </row>
    <row r="69" spans="2:22" x14ac:dyDescent="0.35">
      <c r="B69" s="68" t="s">
        <v>47</v>
      </c>
      <c r="C69" s="69"/>
      <c r="D69" s="70">
        <f ca="1">ROUNDDOWN(A1TargetAvailablePool*A1FDPostMoneyShares,0)</f>
        <v>820199</v>
      </c>
      <c r="E69" s="68"/>
      <c r="F69" s="69"/>
      <c r="G69" s="69"/>
      <c r="H69" s="68"/>
      <c r="I69" s="69"/>
      <c r="J69" s="75"/>
      <c r="N69" s="87" t="s">
        <v>47</v>
      </c>
      <c r="O69" s="88"/>
      <c r="P69" s="104">
        <f ca="1">ROUNDDOWN(A2TargetAvailablePool*A2FDPostMoneyShares,0)</f>
        <v>682333</v>
      </c>
      <c r="Q69" s="87"/>
      <c r="R69" s="88"/>
      <c r="S69" s="88"/>
      <c r="T69" s="87"/>
      <c r="U69" s="88"/>
      <c r="V69" s="94"/>
    </row>
    <row r="70" spans="2:22" ht="15" thickBot="1" x14ac:dyDescent="0.4">
      <c r="B70" s="76" t="s">
        <v>30</v>
      </c>
      <c r="C70" s="77"/>
      <c r="D70" s="78">
        <f ca="1">A1TargetAvailablePoolShares-A1CurrentAvailablePool</f>
        <v>375755</v>
      </c>
      <c r="E70" s="76"/>
      <c r="F70" s="77"/>
      <c r="G70" s="77"/>
      <c r="H70" s="76"/>
      <c r="I70" s="77"/>
      <c r="J70" s="79"/>
      <c r="N70" s="95" t="s">
        <v>30</v>
      </c>
      <c r="O70" s="96"/>
      <c r="P70" s="107">
        <f ca="1">A2TargetAvailablePoolShares-A2CurrentAvailablePool</f>
        <v>102607</v>
      </c>
      <c r="Q70" s="95"/>
      <c r="R70" s="96"/>
      <c r="S70" s="96"/>
      <c r="T70" s="95"/>
      <c r="U70" s="96"/>
      <c r="V70" s="98"/>
    </row>
    <row r="73" spans="2:22" x14ac:dyDescent="0.35">
      <c r="B73" s="31" t="s">
        <v>60</v>
      </c>
      <c r="N73" s="31" t="s">
        <v>61</v>
      </c>
    </row>
    <row r="75" spans="2:22" x14ac:dyDescent="0.35">
      <c r="B75" t="s">
        <v>0</v>
      </c>
      <c r="C75" s="30" t="s">
        <v>1</v>
      </c>
      <c r="D75" s="30" t="s">
        <v>12</v>
      </c>
      <c r="E75" s="123" t="s">
        <v>57</v>
      </c>
      <c r="F75" s="30" t="s">
        <v>62</v>
      </c>
      <c r="G75" s="30" t="s">
        <v>58</v>
      </c>
      <c r="H75" s="30" t="s">
        <v>59</v>
      </c>
      <c r="I75" s="30" t="s">
        <v>4</v>
      </c>
      <c r="J75" s="30" t="s">
        <v>5</v>
      </c>
      <c r="N75" s="99" t="s">
        <v>0</v>
      </c>
      <c r="O75" s="119" t="s">
        <v>1</v>
      </c>
      <c r="P75" s="119" t="s">
        <v>12</v>
      </c>
      <c r="Q75" s="119" t="s">
        <v>57</v>
      </c>
      <c r="R75" s="119" t="s">
        <v>62</v>
      </c>
      <c r="S75" s="119" t="s">
        <v>58</v>
      </c>
      <c r="T75" s="119" t="s">
        <v>59</v>
      </c>
      <c r="U75" s="119" t="s">
        <v>4</v>
      </c>
      <c r="V75" s="119" t="s">
        <v>5</v>
      </c>
    </row>
    <row r="76" spans="2:22" x14ac:dyDescent="0.35">
      <c r="B76" t="s">
        <v>10</v>
      </c>
      <c r="C76" s="4">
        <f>J7</f>
        <v>3000000</v>
      </c>
      <c r="D76" s="4"/>
      <c r="E76" s="117"/>
      <c r="F76" s="4"/>
      <c r="G76" s="4">
        <f>SUM(CapTablePostSeriesANoSeriesSeed[[#This Row],[Common Stock]],CapTablePostSeriesANoSeriesSeed[[#This Row],[Series Seed]:[Series A]])</f>
        <v>3000000</v>
      </c>
      <c r="H76" s="4">
        <f>SUM(CapTablePostSeriesANoSeriesSeed[[#This Row],[Common Stock]:[Series A]])</f>
        <v>3000000</v>
      </c>
      <c r="I76" s="6">
        <f ca="1">CapTablePostSeriesANoSeriesSeed[[#This Row],[Total O/S]]/CapTablePostSeriesANoSeriesSeed[[#Totals],[Total O/S]]</f>
        <v>0.19389014662554557</v>
      </c>
      <c r="J76" s="6">
        <f ca="1">CapTablePostSeriesANoSeriesSeed[[#This Row],[Total FD]]/CapTablePostSeriesANoSeriesSeed[[#Totals],[Total FD]]</f>
        <v>0.18288234648291948</v>
      </c>
      <c r="N76" s="32" t="s">
        <v>10</v>
      </c>
      <c r="O76" s="34">
        <f>O47</f>
        <v>3000000</v>
      </c>
      <c r="P76" s="34"/>
      <c r="Q76" s="34"/>
      <c r="R76" s="34"/>
      <c r="S76" s="34">
        <f>SUM(CapTablePostSeriesAWithSeriesSeed[[#This Row],[Common Stock]],CapTablePostSeriesAWithSeriesSeed[[#This Row],[Series Seed]:[Series A]])</f>
        <v>3000000</v>
      </c>
      <c r="T76" s="34">
        <f>SUM(CapTablePostSeriesAWithSeriesSeed[[#This Row],[Common Stock]:[Series A]])</f>
        <v>3000000</v>
      </c>
      <c r="U76" s="36">
        <f ca="1">CapTablePostSeriesAWithSeriesSeed[[#This Row],[Total O/S]]/CapTablePostSeriesAWithSeriesSeed[[#Totals],[Total O/S]]</f>
        <v>0.2334042934252967</v>
      </c>
      <c r="V76" s="36">
        <f ca="1">CapTablePostSeriesAWithSeriesSeed[[#This Row],[Total FD]]/CapTablePostSeriesAWithSeriesSeed[[#Totals],[Total FD]]</f>
        <v>0.21983372070477519</v>
      </c>
    </row>
    <row r="77" spans="2:22" x14ac:dyDescent="0.35">
      <c r="B77" t="s">
        <v>11</v>
      </c>
      <c r="C77" s="4">
        <f>J8</f>
        <v>2000000</v>
      </c>
      <c r="D77" s="4"/>
      <c r="E77" s="117"/>
      <c r="F77" s="4"/>
      <c r="G77" s="4">
        <f>SUM(CapTablePostSeriesANoSeriesSeed[[#This Row],[Common Stock]],CapTablePostSeriesANoSeriesSeed[[#This Row],[Series Seed]:[Series A]])</f>
        <v>2000000</v>
      </c>
      <c r="H77" s="4">
        <f>SUM(CapTablePostSeriesANoSeriesSeed[[#This Row],[Common Stock]:[Series A]])</f>
        <v>2000000</v>
      </c>
      <c r="I77" s="6">
        <f ca="1">CapTablePostSeriesANoSeriesSeed[[#This Row],[Total O/S]]/CapTablePostSeriesANoSeriesSeed[[#Totals],[Total O/S]]</f>
        <v>0.12926009775036373</v>
      </c>
      <c r="J77" s="6">
        <f ca="1">CapTablePostSeriesANoSeriesSeed[[#This Row],[Total FD]]/CapTablePostSeriesANoSeriesSeed[[#Totals],[Total FD]]</f>
        <v>0.12192156432194633</v>
      </c>
      <c r="N77" s="32" t="s">
        <v>11</v>
      </c>
      <c r="O77" s="34">
        <f>O48</f>
        <v>2000000</v>
      </c>
      <c r="P77" s="34"/>
      <c r="Q77" s="34"/>
      <c r="R77" s="34"/>
      <c r="S77" s="34">
        <f>SUM(CapTablePostSeriesAWithSeriesSeed[[#This Row],[Common Stock]],CapTablePostSeriesAWithSeriesSeed[[#This Row],[Series Seed]:[Series A]])</f>
        <v>2000000</v>
      </c>
      <c r="T77" s="34">
        <f>SUM(CapTablePostSeriesAWithSeriesSeed[[#This Row],[Common Stock]:[Series A]])</f>
        <v>2000000</v>
      </c>
      <c r="U77" s="36">
        <f ca="1">CapTablePostSeriesAWithSeriesSeed[[#This Row],[Total O/S]]/CapTablePostSeriesAWithSeriesSeed[[#Totals],[Total O/S]]</f>
        <v>0.15560286228353112</v>
      </c>
      <c r="V77" s="36">
        <f ca="1">CapTablePostSeriesAWithSeriesSeed[[#This Row],[Total FD]]/CapTablePostSeriesAWithSeriesSeed[[#Totals],[Total FD]]</f>
        <v>0.14655581380318344</v>
      </c>
    </row>
    <row r="78" spans="2:22" x14ac:dyDescent="0.35">
      <c r="B78" t="s">
        <v>13</v>
      </c>
      <c r="C78" s="4"/>
      <c r="D78" s="4">
        <f>K9</f>
        <v>111111</v>
      </c>
      <c r="E78" s="117"/>
      <c r="F78" s="4"/>
      <c r="G78" s="4">
        <f>SUM(CapTablePostSeriesANoSeriesSeed[[#This Row],[Common Stock]],CapTablePostSeriesANoSeriesSeed[[#This Row],[Series Seed]:[Series A]])</f>
        <v>0</v>
      </c>
      <c r="H78" s="4">
        <f>SUM(CapTablePostSeriesANoSeriesSeed[[#This Row],[Common Stock]:[Series A]])</f>
        <v>111111</v>
      </c>
      <c r="I78" s="6">
        <f ca="1">CapTablePostSeriesANoSeriesSeed[[#This Row],[Total O/S]]/CapTablePostSeriesANoSeriesSeed[[#Totals],[Total O/S]]</f>
        <v>0</v>
      </c>
      <c r="J78" s="6">
        <f ca="1">CapTablePostSeriesANoSeriesSeed[[#This Row],[Total FD]]/CapTablePostSeriesANoSeriesSeed[[#Totals],[Total FD]]</f>
        <v>6.7734134666878896E-3</v>
      </c>
      <c r="N78" s="32" t="s">
        <v>13</v>
      </c>
      <c r="O78" s="34"/>
      <c r="P78" s="34">
        <f>P49</f>
        <v>111111</v>
      </c>
      <c r="Q78" s="34"/>
      <c r="R78" s="34"/>
      <c r="S78" s="34">
        <f>SUM(CapTablePostSeriesAWithSeriesSeed[[#This Row],[Common Stock]],CapTablePostSeriesAWithSeriesSeed[[#This Row],[Series Seed]:[Series A]])</f>
        <v>0</v>
      </c>
      <c r="T78" s="34">
        <f>SUM(CapTablePostSeriesAWithSeriesSeed[[#This Row],[Common Stock]:[Series A]])</f>
        <v>111111</v>
      </c>
      <c r="U78" s="36">
        <f ca="1">CapTablePostSeriesAWithSeriesSeed[[#This Row],[Total O/S]]/CapTablePostSeriesAWithSeriesSeed[[#Totals],[Total O/S]]</f>
        <v>0</v>
      </c>
      <c r="V78" s="36">
        <f ca="1">CapTablePostSeriesAWithSeriesSeed[[#This Row],[Total FD]]/CapTablePostSeriesAWithSeriesSeed[[#Totals],[Total FD]]</f>
        <v>8.1419815137427579E-3</v>
      </c>
    </row>
    <row r="79" spans="2:22" x14ac:dyDescent="0.35">
      <c r="B79" s="16" t="s">
        <v>63</v>
      </c>
      <c r="C79" s="17"/>
      <c r="D79" s="17">
        <f ca="1">SUM(A1CurrentAvailablePool,A1PoolSharesAdded)</f>
        <v>820199</v>
      </c>
      <c r="E79" s="117"/>
      <c r="F79" s="17"/>
      <c r="G79" s="17">
        <f>SUM(CapTablePostSeriesANoSeriesSeed[[#This Row],[Common Stock]],CapTablePostSeriesANoSeriesSeed[[#This Row],[Series Seed]:[Series A]])</f>
        <v>0</v>
      </c>
      <c r="H79" s="17">
        <f ca="1">SUM(CapTablePostSeriesANoSeriesSeed[[#This Row],[Common Stock]:[Series A]])</f>
        <v>820199</v>
      </c>
      <c r="I79" s="18">
        <f ca="1">CapTablePostSeriesANoSeriesSeed[[#This Row],[Total O/S]]/CapTablePostSeriesANoSeriesSeed[[#Totals],[Total O/S]]</f>
        <v>0</v>
      </c>
      <c r="J79" s="18">
        <f ca="1">CapTablePostSeriesANoSeriesSeed[[#This Row],[Total FD]]/CapTablePostSeriesANoSeriesSeed[[#Totals],[Total FD]]</f>
        <v>4.9999972567648029E-2</v>
      </c>
      <c r="N79" s="38" t="s">
        <v>63</v>
      </c>
      <c r="O79" s="39"/>
      <c r="P79" s="39">
        <f ca="1">SUM(P50,A2PoolSharesAdded)</f>
        <v>682333</v>
      </c>
      <c r="Q79" s="39"/>
      <c r="R79" s="39"/>
      <c r="S79" s="39">
        <f>SUM(CapTablePostSeriesAWithSeriesSeed[[#This Row],[Common Stock]],CapTablePostSeriesAWithSeriesSeed[[#This Row],[Series Seed]:[Series A]])</f>
        <v>0</v>
      </c>
      <c r="T79" s="39">
        <f ca="1">SUM(CapTablePostSeriesAWithSeriesSeed[[#This Row],[Common Stock]:[Series A]])</f>
        <v>682333</v>
      </c>
      <c r="U79" s="40">
        <f ca="1">CapTablePostSeriesAWithSeriesSeed[[#This Row],[Total O/S]]/CapTablePostSeriesAWithSeriesSeed[[#Totals],[Total O/S]]</f>
        <v>0</v>
      </c>
      <c r="V79" s="40">
        <f ca="1">CapTablePostSeriesAWithSeriesSeed[[#This Row],[Total FD]]/CapTablePostSeriesAWithSeriesSeed[[#Totals],[Total FD]]</f>
        <v>4.9999934049883787E-2</v>
      </c>
    </row>
    <row r="80" spans="2:22" x14ac:dyDescent="0.35">
      <c r="B80" t="s">
        <v>23</v>
      </c>
      <c r="C80" s="4"/>
      <c r="D80" s="4"/>
      <c r="E80" s="117"/>
      <c r="F80" s="4">
        <f ca="1">K22</f>
        <v>2736726</v>
      </c>
      <c r="G80" s="4">
        <f ca="1">SUM(CapTablePostSeriesANoSeriesSeed[[#This Row],[Common Stock]],CapTablePostSeriesANoSeriesSeed[[#This Row],[Series Seed]:[Series A]])</f>
        <v>2736726</v>
      </c>
      <c r="H80" s="4">
        <f ca="1">SUM(CapTablePostSeriesANoSeriesSeed[[#This Row],[Common Stock]:[Series A]])</f>
        <v>2736726</v>
      </c>
      <c r="I80" s="6">
        <f ca="1">CapTablePostSeriesANoSeriesSeed[[#This Row],[Total O/S]]/CapTablePostSeriesANoSeriesSeed[[#Totals],[Total O/S]]</f>
        <v>0.17687473513798097</v>
      </c>
      <c r="J80" s="6">
        <f ca="1">CapTablePostSeriesANoSeriesSeed[[#This Row],[Total FD]]/CapTablePostSeriesANoSeriesSeed[[#Totals],[Total FD]]</f>
        <v>0.16683295752027144</v>
      </c>
      <c r="N80" s="32" t="s">
        <v>23</v>
      </c>
      <c r="O80" s="34"/>
      <c r="P80" s="34"/>
      <c r="Q80" s="4">
        <f ca="1">Q51</f>
        <v>1808645</v>
      </c>
      <c r="R80" s="34"/>
      <c r="S80" s="34">
        <f ca="1">SUM(CapTablePostSeriesAWithSeriesSeed[[#This Row],[Common Stock]],CapTablePostSeriesAWithSeriesSeed[[#This Row],[Series Seed]:[Series A]])</f>
        <v>1808645</v>
      </c>
      <c r="T80" s="34">
        <f ca="1">SUM(CapTablePostSeriesAWithSeriesSeed[[#This Row],[Common Stock]:[Series A]])</f>
        <v>1808645</v>
      </c>
      <c r="U80" s="36">
        <f ca="1">CapTablePostSeriesAWithSeriesSeed[[#This Row],[Total O/S]]/CapTablePostSeriesAWithSeriesSeed[[#Totals],[Total O/S]]</f>
        <v>0.14071516942739859</v>
      </c>
      <c r="V80" s="36">
        <f ca="1">CapTablePostSeriesAWithSeriesSeed[[#This Row],[Total FD]]/CapTablePostSeriesAWithSeriesSeed[[#Totals],[Total FD]]</f>
        <v>0.13253371992802937</v>
      </c>
    </row>
    <row r="81" spans="2:22" x14ac:dyDescent="0.35">
      <c r="B81" t="s">
        <v>24</v>
      </c>
      <c r="C81" s="4"/>
      <c r="D81" s="4"/>
      <c r="E81" s="117"/>
      <c r="F81" s="4">
        <f ca="1">K23</f>
        <v>2541544</v>
      </c>
      <c r="G81" s="4">
        <f ca="1">SUM(CapTablePostSeriesANoSeriesSeed[[#This Row],[Common Stock]],CapTablePostSeriesANoSeriesSeed[[#This Row],[Series Seed]:[Series A]])</f>
        <v>2541544</v>
      </c>
      <c r="H81" s="4">
        <f ca="1">SUM(CapTablePostSeriesANoSeriesSeed[[#This Row],[Common Stock]:[Series A]])</f>
        <v>2541544</v>
      </c>
      <c r="I81" s="6">
        <f ca="1">CapTablePostSeriesANoSeriesSeed[[#This Row],[Total O/S]]/CapTablePostSeriesANoSeriesSeed[[#Totals],[Total O/S]]</f>
        <v>0.16426011293842521</v>
      </c>
      <c r="J81" s="6">
        <f ca="1">CapTablePostSeriesANoSeriesSeed[[#This Row],[Total FD]]/CapTablePostSeriesANoSeriesSeed[[#Totals],[Total FD]]</f>
        <v>0.15493451013652837</v>
      </c>
      <c r="N81" s="32" t="s">
        <v>24</v>
      </c>
      <c r="O81" s="34"/>
      <c r="P81" s="34"/>
      <c r="Q81" s="4">
        <f ca="1">Q52</f>
        <v>1679586</v>
      </c>
      <c r="R81" s="34"/>
      <c r="S81" s="34">
        <f ca="1">SUM(CapTablePostSeriesAWithSeriesSeed[[#This Row],[Common Stock]],CapTablePostSeriesAWithSeriesSeed[[#This Row],[Series Seed]:[Series A]])</f>
        <v>1679586</v>
      </c>
      <c r="T81" s="34">
        <f ca="1">SUM(CapTablePostSeriesAWithSeriesSeed[[#This Row],[Common Stock]:[Series A]])</f>
        <v>1679586</v>
      </c>
      <c r="U81" s="36">
        <f ca="1">CapTablePostSeriesAWithSeriesSeed[[#This Row],[Total O/S]]/CapTablePostSeriesAWithSeriesSeed[[#Totals],[Total O/S]]</f>
        <v>0.13067419452567347</v>
      </c>
      <c r="V81" s="36">
        <f ca="1">CapTablePostSeriesAWithSeriesSeed[[#This Row],[Total FD]]/CapTablePostSeriesAWithSeriesSeed[[#Totals],[Total FD]]</f>
        <v>0.12307654654121684</v>
      </c>
    </row>
    <row r="82" spans="2:22" x14ac:dyDescent="0.35">
      <c r="B82" t="str" cm="1">
        <f t="array" ref="B82">SecondSafeRound[SAFE holder]</f>
        <v>Seed investor</v>
      </c>
      <c r="C82" s="4"/>
      <c r="D82" s="4"/>
      <c r="E82" s="117"/>
      <c r="F82" s="4" cm="1">
        <f t="array" aca="1" ref="F82" ca="1">SecondSafeRound[Conversion Shares]</f>
        <v>2850952</v>
      </c>
      <c r="G82" s="4">
        <f ca="1">SUM(CapTablePostSeriesANoSeriesSeed[[#This Row],[Common Stock]],CapTablePostSeriesANoSeriesSeed[[#This Row],[Series Seed]:[Series A]])</f>
        <v>2850952</v>
      </c>
      <c r="H82" s="4">
        <f ca="1">SUM(CapTablePostSeriesANoSeriesSeed[[#This Row],[Common Stock]:[Series A]])</f>
        <v>2850952</v>
      </c>
      <c r="I82" s="6">
        <f ca="1">CapTablePostSeriesANoSeriesSeed[[#This Row],[Total O/S]]/CapTablePostSeriesANoSeriesSeed[[#Totals],[Total O/S]]</f>
        <v>0.18425716710079748</v>
      </c>
      <c r="J82" s="6">
        <f ca="1">CapTablePostSeriesANoSeriesSeed[[#This Row],[Total FD]]/CapTablePostSeriesANoSeriesSeed[[#Totals],[Total FD]]</f>
        <v>0.17379626382339075</v>
      </c>
      <c r="N82" s="120" t="s">
        <v>80</v>
      </c>
      <c r="O82" s="121"/>
      <c r="P82" s="121"/>
      <c r="Q82" s="121">
        <v>0</v>
      </c>
      <c r="R82" s="121"/>
      <c r="S82" s="121">
        <f>SUM(CapTablePostSeriesAWithSeriesSeed[[#This Row],[Common Stock]],CapTablePostSeriesAWithSeriesSeed[[#This Row],[Series Seed]:[Series A]])</f>
        <v>0</v>
      </c>
      <c r="T82" s="121">
        <f>SUM(CapTablePostSeriesAWithSeriesSeed[[#This Row],[Common Stock]:[Series A]])</f>
        <v>0</v>
      </c>
      <c r="U82" s="122">
        <f ca="1">CapTablePostSeriesAWithSeriesSeed[[#This Row],[Total O/S]]/CapTablePostSeriesAWithSeriesSeed[[#Totals],[Total O/S]]</f>
        <v>0</v>
      </c>
      <c r="V82" s="122">
        <f ca="1">CapTablePostSeriesAWithSeriesSeed[[#This Row],[Total FD]]/CapTablePostSeriesAWithSeriesSeed[[#Totals],[Total FD]]</f>
        <v>0</v>
      </c>
    </row>
    <row r="83" spans="2:22" x14ac:dyDescent="0.35">
      <c r="B83" s="116" t="s">
        <v>57</v>
      </c>
      <c r="C83" s="117"/>
      <c r="D83" s="117"/>
      <c r="E83" s="117"/>
      <c r="F83" s="117">
        <v>0</v>
      </c>
      <c r="G83" s="117">
        <f>SUM(CapTablePostSeriesANoSeriesSeed[[#This Row],[Common Stock]],CapTablePostSeriesANoSeriesSeed[[#This Row],[Series Seed]:[Series A]])</f>
        <v>0</v>
      </c>
      <c r="H83" s="117">
        <f>SUM(CapTablePostSeriesANoSeriesSeed[[#This Row],[Common Stock]:[Series A]])</f>
        <v>0</v>
      </c>
      <c r="I83" s="118">
        <f ca="1">CapTablePostSeriesANoSeriesSeed[[#This Row],[Total O/S]]/CapTablePostSeriesANoSeriesSeed[[#Totals],[Total O/S]]</f>
        <v>0</v>
      </c>
      <c r="J83" s="118">
        <f ca="1">CapTablePostSeriesANoSeriesSeed[[#This Row],[Total FD]]/CapTablePostSeriesANoSeriesSeed[[#Totals],[Total FD]]</f>
        <v>0</v>
      </c>
      <c r="N83" s="32" t="s">
        <v>57</v>
      </c>
      <c r="O83" s="34"/>
      <c r="P83" s="34"/>
      <c r="Q83" s="34">
        <f ca="1">Q53</f>
        <v>2415458</v>
      </c>
      <c r="R83" s="34"/>
      <c r="S83" s="34">
        <f ca="1">SUM(CapTablePostSeriesAWithSeriesSeed[[#This Row],[Common Stock]],CapTablePostSeriesAWithSeriesSeed[[#This Row],[Series Seed]:[Series A]])</f>
        <v>2415458</v>
      </c>
      <c r="T83" s="34">
        <f ca="1">SUM(CapTablePostSeriesAWithSeriesSeed[[#This Row],[Common Stock]:[Series A]])</f>
        <v>2415458</v>
      </c>
      <c r="U83" s="36">
        <f ca="1">CapTablePostSeriesAWithSeriesSeed[[#This Row],[Total O/S]]/CapTablePostSeriesAWithSeriesSeed[[#Totals],[Total O/S]]</f>
        <v>0.18792608926282678</v>
      </c>
      <c r="V83" s="36">
        <f ca="1">CapTablePostSeriesAWithSeriesSeed[[#This Row],[Total FD]]/CapTablePostSeriesAWithSeriesSeed[[#Totals],[Total FD]]</f>
        <v>0.17699970644870494</v>
      </c>
    </row>
    <row r="84" spans="2:22" x14ac:dyDescent="0.35">
      <c r="B84" t="s">
        <v>62</v>
      </c>
      <c r="C84" s="4"/>
      <c r="D84" s="4"/>
      <c r="E84" s="117"/>
      <c r="F84" s="4">
        <f ca="1">A1NewMoneyShares</f>
        <v>2343457</v>
      </c>
      <c r="G84" s="4">
        <f ca="1">SUM(CapTablePostSeriesANoSeriesSeed[[#This Row],[Common Stock]],CapTablePostSeriesANoSeriesSeed[[#This Row],[Series Seed]:[Series A]])</f>
        <v>2343457</v>
      </c>
      <c r="H84" s="4">
        <f ca="1">SUM(CapTablePostSeriesANoSeriesSeed[[#This Row],[Common Stock]:[Series A]])</f>
        <v>2343457</v>
      </c>
      <c r="I84" s="6">
        <f ca="1">CapTablePostSeriesANoSeriesSeed[[#This Row],[Total O/S]]/CapTablePostSeriesANoSeriesSeed[[#Totals],[Total O/S]]</f>
        <v>0.15145774044688706</v>
      </c>
      <c r="J84" s="6">
        <f ca="1">CapTablePostSeriesANoSeriesSeed[[#This Row],[Total FD]]/CapTablePostSeriesANoSeriesSeed[[#Totals],[Total FD]]</f>
        <v>0.14285897168060768</v>
      </c>
      <c r="N84" s="33" t="s">
        <v>62</v>
      </c>
      <c r="O84" s="35"/>
      <c r="P84" s="35"/>
      <c r="Q84" s="35">
        <v>0</v>
      </c>
      <c r="R84" s="35">
        <f ca="1">A2NewMoneyShares</f>
        <v>1949545</v>
      </c>
      <c r="S84" s="35">
        <f ca="1">SUM(CapTablePostSeriesAWithSeriesSeed[[#This Row],[Common Stock]],CapTablePostSeriesAWithSeriesSeed[[#This Row],[Series Seed]:[Series A]])</f>
        <v>1949545</v>
      </c>
      <c r="T84" s="35">
        <f ca="1">SUM(CapTablePostSeriesAWithSeriesSeed[[#This Row],[Common Stock]:[Series A]])</f>
        <v>1949545</v>
      </c>
      <c r="U84" s="37">
        <f ca="1">CapTablePostSeriesAWithSeriesSeed[[#This Row],[Total O/S]]/CapTablePostSeriesAWithSeriesSeed[[#Totals],[Total O/S]]</f>
        <v>0.15167739107527334</v>
      </c>
      <c r="V84" s="37">
        <f ca="1">CapTablePostSeriesAWithSeriesSeed[[#This Row],[Total FD]]/CapTablePostSeriesAWithSeriesSeed[[#Totals],[Total FD]]</f>
        <v>0.14285857701046364</v>
      </c>
    </row>
    <row r="85" spans="2:22" x14ac:dyDescent="0.35">
      <c r="B85" t="s">
        <v>6</v>
      </c>
      <c r="C85" s="11">
        <f>SUBTOTAL(109,CapTablePostSeriesANoSeriesSeed[Common Stock])</f>
        <v>5000000</v>
      </c>
      <c r="D85" s="11">
        <f ca="1">SUBTOTAL(109,CapTablePostSeriesANoSeriesSeed[Options])</f>
        <v>931310</v>
      </c>
      <c r="E85" s="124">
        <f>SUBTOTAL(109,CapTablePostSeriesANoSeriesSeed[Series Seed])</f>
        <v>0</v>
      </c>
      <c r="F85" s="11">
        <f ca="1">SUBTOTAL(109,CapTablePostSeriesANoSeriesSeed[Series A])</f>
        <v>10472679</v>
      </c>
      <c r="G85" s="11">
        <f ca="1">SUBTOTAL(109,CapTablePostSeriesANoSeriesSeed[Total O/S])</f>
        <v>15472679</v>
      </c>
      <c r="H85" s="11">
        <f ca="1">SUBTOTAL(109,CapTablePostSeriesANoSeriesSeed[Total FD])</f>
        <v>16403989</v>
      </c>
      <c r="I85" s="15">
        <f ca="1">SUBTOTAL(109,CapTablePostSeriesANoSeriesSeed[% O/S])</f>
        <v>1</v>
      </c>
      <c r="J85" s="15">
        <f ca="1">SUBTOTAL(109,CapTablePostSeriesANoSeriesSeed[% FD])</f>
        <v>1</v>
      </c>
      <c r="N85" t="s">
        <v>6</v>
      </c>
      <c r="O85" s="11">
        <f>SUBTOTAL(109,CapTablePostSeriesAWithSeriesSeed[Common Stock])</f>
        <v>5000000</v>
      </c>
      <c r="P85" s="11">
        <f ca="1">SUBTOTAL(109,CapTablePostSeriesAWithSeriesSeed[Options])</f>
        <v>793444</v>
      </c>
      <c r="Q85" s="11">
        <f ca="1">SUBTOTAL(109,CapTablePostSeriesAWithSeriesSeed[Series Seed])</f>
        <v>5903689</v>
      </c>
      <c r="R85" s="11">
        <f ca="1">SUBTOTAL(109,CapTablePostSeriesAWithSeriesSeed[Series A])</f>
        <v>1949545</v>
      </c>
      <c r="S85" s="11">
        <f ca="1">SUBTOTAL(109,CapTablePostSeriesAWithSeriesSeed[Total O/S])</f>
        <v>12853234</v>
      </c>
      <c r="T85" s="11">
        <f ca="1">SUBTOTAL(109,CapTablePostSeriesAWithSeriesSeed[Total FD])</f>
        <v>13646678</v>
      </c>
      <c r="U85" s="15">
        <f ca="1">SUBTOTAL(109,CapTablePostSeriesAWithSeriesSeed[% O/S])</f>
        <v>1</v>
      </c>
      <c r="V85" s="15">
        <f ca="1">SUBTOTAL(109,CapTablePostSeriesAWithSeriesSeed[% FD])</f>
        <v>0.99999999999999989</v>
      </c>
    </row>
    <row r="88" spans="2:22" x14ac:dyDescent="0.35">
      <c r="B88" s="31" t="s">
        <v>64</v>
      </c>
      <c r="N88" s="31" t="s">
        <v>64</v>
      </c>
    </row>
    <row r="90" spans="2:22" x14ac:dyDescent="0.35">
      <c r="B90" t="s">
        <v>0</v>
      </c>
      <c r="C90" s="30" t="s">
        <v>66</v>
      </c>
      <c r="D90" s="30" t="s">
        <v>67</v>
      </c>
      <c r="E90" s="30" t="s">
        <v>65</v>
      </c>
      <c r="N90" t="s">
        <v>0</v>
      </c>
      <c r="O90" s="30" t="s">
        <v>66</v>
      </c>
      <c r="P90" s="30" t="s">
        <v>67</v>
      </c>
      <c r="Q90" s="30" t="s">
        <v>65</v>
      </c>
    </row>
    <row r="91" spans="2:22" x14ac:dyDescent="0.35">
      <c r="B91" t="str">
        <f>B76</f>
        <v>Founder 1</v>
      </c>
      <c r="C91" s="11">
        <f>C76</f>
        <v>3000000</v>
      </c>
      <c r="D91" s="15">
        <f ca="1">J76</f>
        <v>0.18288234648291948</v>
      </c>
      <c r="E91" s="9">
        <f ca="1">Table8[[#This Row],[Post-$ FD %]]*A1PostMoneyValuation</f>
        <v>6400882.1269021817</v>
      </c>
      <c r="N91" t="str">
        <f>N76</f>
        <v>Founder 1</v>
      </c>
      <c r="O91" s="11">
        <f>O76</f>
        <v>3000000</v>
      </c>
      <c r="P91" s="15">
        <f ca="1">V76</f>
        <v>0.21983372070477519</v>
      </c>
      <c r="Q91" s="9">
        <f ca="1">Table7[[#This Row],[Post-$ FD %]]*A2PostMoneyValuation</f>
        <v>7694180.2246671319</v>
      </c>
    </row>
    <row r="92" spans="2:22" x14ac:dyDescent="0.35">
      <c r="B92" t="str">
        <f>B77</f>
        <v>Founder 2</v>
      </c>
      <c r="C92" s="11">
        <f>C77</f>
        <v>2000000</v>
      </c>
      <c r="D92" s="15">
        <f ca="1">J77</f>
        <v>0.12192156432194633</v>
      </c>
      <c r="E92" s="9">
        <f ca="1">Table8[[#This Row],[Post-$ FD %]]*A1PostMoneyValuation</f>
        <v>4267254.7512681214</v>
      </c>
      <c r="N92" t="str">
        <f>N77</f>
        <v>Founder 2</v>
      </c>
      <c r="O92" s="11">
        <f>O77</f>
        <v>2000000</v>
      </c>
      <c r="P92" s="15">
        <f ca="1">V77</f>
        <v>0.14655581380318344</v>
      </c>
      <c r="Q92" s="9">
        <f ca="1">Table7[[#This Row],[Post-$ FD %]]*A2PostMoneyValuation</f>
        <v>5129453.4831114206</v>
      </c>
    </row>
    <row r="93" spans="2:22" x14ac:dyDescent="0.35">
      <c r="B93" t="str">
        <f>B78</f>
        <v>Employee 1</v>
      </c>
      <c r="C93" s="11">
        <f>D78</f>
        <v>111111</v>
      </c>
      <c r="D93" s="15">
        <f ca="1">J78</f>
        <v>6.7734134666878896E-3</v>
      </c>
      <c r="E93" s="9">
        <f ca="1">Table8[[#This Row],[Post-$ FD %]]*A1PostMoneyValuation</f>
        <v>237069.47133407614</v>
      </c>
      <c r="N93" t="str">
        <f>N78</f>
        <v>Employee 1</v>
      </c>
      <c r="O93" s="11">
        <f>P78</f>
        <v>111111</v>
      </c>
      <c r="P93" s="15">
        <f ca="1">V78</f>
        <v>8.1419815137427579E-3</v>
      </c>
      <c r="Q93" s="9">
        <f ca="1">Table7[[#This Row],[Post-$ FD %]]*A2PostMoneyValuation</f>
        <v>284969.35298099654</v>
      </c>
    </row>
    <row r="94" spans="2:22" x14ac:dyDescent="0.35">
      <c r="B94" s="1" t="s">
        <v>6</v>
      </c>
      <c r="E94" s="42">
        <f ca="1">SUBTOTAL(109,Table8[Post-$ Value])</f>
        <v>10905206.34950438</v>
      </c>
      <c r="F94" s="43">
        <f ca="1">Table8[[#Totals],[Post-$ Value]]-Table7[[#Totals],[Post-$ Value]]</f>
        <v>-2203396.7112551704</v>
      </c>
      <c r="N94" t="s">
        <v>6</v>
      </c>
      <c r="O94"/>
      <c r="P94"/>
      <c r="Q94" s="41">
        <f ca="1">SUBTOTAL(109,Table7[Post-$ Value])</f>
        <v>13108603.06075955</v>
      </c>
      <c r="R94" s="44">
        <f ca="1">Table7[[#Totals],[Post-$ Value]]-Table8[[#Totals],[Post-$ Value]]</f>
        <v>2203396.7112551704</v>
      </c>
    </row>
    <row r="100" spans="2:2" x14ac:dyDescent="0.35">
      <c r="B100" s="125" t="s">
        <v>83</v>
      </c>
    </row>
    <row r="101" spans="2:2" x14ac:dyDescent="0.35">
      <c r="B101" s="125" t="s">
        <v>84</v>
      </c>
    </row>
    <row r="102" spans="2:2" x14ac:dyDescent="0.35">
      <c r="B102" s="125" t="s">
        <v>85</v>
      </c>
    </row>
    <row r="103" spans="2:2" x14ac:dyDescent="0.35">
      <c r="B103" s="125" t="s">
        <v>86</v>
      </c>
    </row>
    <row r="104" spans="2:2" x14ac:dyDescent="0.35">
      <c r="B104" s="125" t="s">
        <v>87</v>
      </c>
    </row>
    <row r="106" spans="2:2" x14ac:dyDescent="0.35">
      <c r="B106" s="126"/>
    </row>
    <row r="107" spans="2:2" x14ac:dyDescent="0.35">
      <c r="B107" s="127" t="s">
        <v>88</v>
      </c>
    </row>
    <row r="108" spans="2:2" x14ac:dyDescent="0.35">
      <c r="B108" s="128" t="s">
        <v>89</v>
      </c>
    </row>
    <row r="109" spans="2:2" x14ac:dyDescent="0.35">
      <c r="B109" s="128" t="s">
        <v>90</v>
      </c>
    </row>
  </sheetData>
  <phoneticPr fontId="6" type="noConversion"/>
  <conditionalFormatting sqref="F94">
    <cfRule type="cellIs" dxfId="54" priority="2" operator="greaterThan">
      <formula>$R$94</formula>
    </cfRule>
    <cfRule type="cellIs" dxfId="53" priority="4" operator="lessThan">
      <formula>$R$94</formula>
    </cfRule>
  </conditionalFormatting>
  <conditionalFormatting sqref="R94">
    <cfRule type="cellIs" dxfId="52" priority="1" operator="lessThan">
      <formula>$F$94</formula>
    </cfRule>
    <cfRule type="cellIs" dxfId="51" priority="3" operator="greaterThan">
      <formula>$F$94</formula>
    </cfRule>
  </conditionalFormatting>
  <dataValidations disablePrompts="1" count="1">
    <dataValidation type="list" allowBlank="1" showInputMessage="1" showErrorMessage="1" sqref="S34" xr:uid="{04E48097-F3BE-44F1-A6EC-9FC741AA6D4F}">
      <formula1>"YES,NO"</formula1>
    </dataValidation>
  </dataValidations>
  <hyperlinks>
    <hyperlink ref="B107" r:id="rId1" xr:uid="{237C52F6-7D25-4941-9D88-7DF77E4F0675}"/>
  </hyperlinks>
  <pageMargins left="0.7" right="0.7" top="0.75" bottom="0.75" header="0.3" footer="0.3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37</vt:i4>
      </vt:variant>
    </vt:vector>
  </HeadingPairs>
  <TitlesOfParts>
    <vt:vector size="38" baseType="lpstr">
      <vt:lpstr>Resisting the "SAFE Stack"</vt:lpstr>
      <vt:lpstr>A1CurrentAvailablePool</vt:lpstr>
      <vt:lpstr>A1FDPostMoneyShares</vt:lpstr>
      <vt:lpstr>A1NewMoney</vt:lpstr>
      <vt:lpstr>A1NewMoneyPrice</vt:lpstr>
      <vt:lpstr>A1NewMoneyShares</vt:lpstr>
      <vt:lpstr>A1PoolSharesAdded</vt:lpstr>
      <vt:lpstr>A1PostMoneyValuation</vt:lpstr>
      <vt:lpstr>A1PreMoneyCapitalization</vt:lpstr>
      <vt:lpstr>A1PreMoneyValuation</vt:lpstr>
      <vt:lpstr>A1SAFEConversionShares</vt:lpstr>
      <vt:lpstr>A1TargetAvailablePool</vt:lpstr>
      <vt:lpstr>A1TargetAvailablePoolShares</vt:lpstr>
      <vt:lpstr>A2CurrentAvailablePool</vt:lpstr>
      <vt:lpstr>A2FDPostMoneyShares</vt:lpstr>
      <vt:lpstr>A2NewMoney</vt:lpstr>
      <vt:lpstr>A2NewMoneyPrice</vt:lpstr>
      <vt:lpstr>A2NewMoneyShares</vt:lpstr>
      <vt:lpstr>A2PoolSharesAdded</vt:lpstr>
      <vt:lpstr>A2PostMoneyValuation</vt:lpstr>
      <vt:lpstr>A2PreMoneyCapitalization</vt:lpstr>
      <vt:lpstr>A2PreMoneyValuation</vt:lpstr>
      <vt:lpstr>A2SAFEConversionShares</vt:lpstr>
      <vt:lpstr>A2TargetAvailablePool</vt:lpstr>
      <vt:lpstr>A2TargetAvailablePoolShares</vt:lpstr>
      <vt:lpstr>ExpandPoolAtSeed</vt:lpstr>
      <vt:lpstr>SeedCurrentAvailablePool</vt:lpstr>
      <vt:lpstr>SeedFDPostMoneyShares</vt:lpstr>
      <vt:lpstr>SeedNewMoney</vt:lpstr>
      <vt:lpstr>SeedNewMoneyPrice</vt:lpstr>
      <vt:lpstr>SeedNewMoneyShares</vt:lpstr>
      <vt:lpstr>SeedPoolSharesAdded</vt:lpstr>
      <vt:lpstr>SeedPostMoneyValuation</vt:lpstr>
      <vt:lpstr>SeedPreMoneyCapitalization</vt:lpstr>
      <vt:lpstr>SeedPreMoneyValuation</vt:lpstr>
      <vt:lpstr>SeedSAFEConversionShares</vt:lpstr>
      <vt:lpstr>SeedTargetAvailablePool</vt:lpstr>
      <vt:lpstr>SeedTargetAvailablePoolShares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Buchanan</dc:creator>
  <cp:lastModifiedBy>Jay Buchanan</cp:lastModifiedBy>
  <dcterms:created xsi:type="dcterms:W3CDTF">2023-12-01T17:38:10Z</dcterms:created>
  <dcterms:modified xsi:type="dcterms:W3CDTF">2025-05-13T19:39:52Z</dcterms:modified>
</cp:coreProperties>
</file>